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885" tabRatio="656" activeTab="0"/>
  </bookViews>
  <sheets>
    <sheet name="Sources-Uses" sheetId="1" r:id="rId1"/>
    <sheet name=" Cash Flow Yr 1" sheetId="2" r:id="rId2"/>
    <sheet name="CashFlow Yr 2&amp;3" sheetId="3" r:id="rId3"/>
    <sheet name="Income Stmt" sheetId="4" r:id="rId4"/>
    <sheet name="Balance Sheet" sheetId="5" r:id="rId5"/>
    <sheet name="Assumptions" sheetId="6" r:id="rId6"/>
    <sheet name="Amortization-Bank" sheetId="7" r:id="rId7"/>
    <sheet name="Amortization-Gap" sheetId="8" r:id="rId8"/>
    <sheet name="Ratios" sheetId="9" r:id="rId9"/>
    <sheet name="Breakeven" sheetId="10" r:id="rId10"/>
    <sheet name="MonthlyBreakeven" sheetId="11" r:id="rId11"/>
    <sheet name="What If" sheetId="12" r:id="rId12"/>
  </sheets>
  <externalReferences>
    <externalReference r:id="rId15"/>
  </externalReferences>
  <definedNames>
    <definedName name="Annual_interest_rate">'Amortization-Bank'!$C$8</definedName>
    <definedName name="Annual_interest_rated">#REF!</definedName>
    <definedName name="Annual_interest_rateGAP">'Amortization-Gap'!$C$8</definedName>
    <definedName name="Beg.Bal">IF('Amortization-Bank'!IU1&lt;&gt;"",'Amortization-Bank'!D65536,"")</definedName>
    <definedName name="Beg.Bald">IF(#REF!&lt;&gt;"",#REF!,"")</definedName>
    <definedName name="Beg.BalGAP">IF('Amortization-Gap'!IU1&lt;&gt;"",'Amortization-Gap'!D65536,"")</definedName>
    <definedName name="Calculated_payment">'Amortization-Bank'!$C$14</definedName>
    <definedName name="Calculated_paymentd">#REF!</definedName>
    <definedName name="Calculated_paymentGAP">'Amortization-Gap'!$C$14</definedName>
    <definedName name="Cum.Interest">IF('Amortization-Bank'!IQ1&lt;&gt;"",'Amortization-Bank'!A65536+'Amortization-Bank'!IT1,"")</definedName>
    <definedName name="Cum.Interestd">IF(#REF!&lt;&gt;"",#REF!+#REF!,"")</definedName>
    <definedName name="End_Bal">'[1]Amortization Table'!$I$19:$I$378</definedName>
    <definedName name="Ending.Balance">IF('Amortization-Bank'!IR1&lt;&gt;"",'Amortization-Bank'!IT1-'Amortization-Bank'!IV1,"")</definedName>
    <definedName name="Ending.Balanced">IF(#REF!&lt;&gt;"",#REF!-#REF!,"")</definedName>
    <definedName name="Ending.BalanceGAP">IF('Amortization-Gap'!IR1&lt;&gt;"",'Amortization-Gap'!IT1-'Amortization-Gap'!IV1,"")</definedName>
    <definedName name="Entered_payment">'Amortization-Bank'!$C$13</definedName>
    <definedName name="Entered_paymentd">#REF!</definedName>
    <definedName name="Entered_paymentGAP">'Amortization-Gap'!$C$13</definedName>
    <definedName name="First_payment_due">'Amortization-Bank'!$C$11</definedName>
    <definedName name="First_payment_dued">#REF!</definedName>
    <definedName name="First_payment_dueGAP">'Amortization-Gap'!$C$11</definedName>
    <definedName name="First_payment_no">'Amortization-Bank'!$C$17</definedName>
    <definedName name="First_payment_nod">#REF!</definedName>
    <definedName name="First_payment_noGAP">'Amortization-Gap'!$C$17</definedName>
    <definedName name="Full_Print">'[1]Amortization Table'!$A$1:$J$378</definedName>
    <definedName name="Header_Row">ROW('[1]Amortization Table'!$18:$18)</definedName>
    <definedName name="Interest">IF('Amortization-Bank'!IT1&lt;&gt;"",'Amortization-Bank'!IV1*Periodic_rate,"")</definedName>
    <definedName name="Interest_Rate">'[1]Amortization Table'!$D$7</definedName>
    <definedName name="Interestd">IF(#REF!&lt;&gt;"",#REF!*Periodic_rated,"")</definedName>
    <definedName name="InterestGAP">IF('Amortization-Gap'!IT1&lt;&gt;"",'Amortization-Gap'!IV1*Periodic_rateGAP,"")</definedName>
    <definedName name="Last_Row">IF(Values_Entered,Header_Row+Number_of_Payments,Header_Row)</definedName>
    <definedName name="Loan_Amount">'Amortization-Bank'!$C$7</definedName>
    <definedName name="Loan_amountd">#REF!</definedName>
    <definedName name="Loan_AmountGAP">'Amortization-Gap'!$C$7</definedName>
    <definedName name="Loan_Start">'[1]Amortization Table'!$D$10</definedName>
    <definedName name="Loan_Years">'[1]Amortization Table'!$D$8</definedName>
    <definedName name="Number_of_Payments">MATCH(0.01,End_Bal,-1)+1</definedName>
    <definedName name="payment.Num">IF(OR('Amortization-Bank'!A65536="",'Amortization-Bank'!A65536=Total_payments),"",'Amortization-Bank'!A65536+1)</definedName>
    <definedName name="payment.Numd">IF(OR(#REF!="",#REF!=Total_paymentsd),"",#REF!+1)</definedName>
    <definedName name="payment.NumGAP">IF(OR('Amortization-Gap'!A65536="",'Amortization-Gap'!A65536=Total_paymentsGAP),"",'Amortization-Gap'!A65536+1)</definedName>
    <definedName name="Payment_Date">DATE(YEAR(Loan_Start),MONTH(Loan_Start)+Payment_Number,DAY(Loan_Start))</definedName>
    <definedName name="Payments_per_year">'Amortization-Bank'!$C$10</definedName>
    <definedName name="Payments_per_yeard">#REF!</definedName>
    <definedName name="Payments_per_yearGAP">'Amortization-Gap'!$C$10</definedName>
    <definedName name="Periodic_rate">Annual_interest_rate/Payments_per_year</definedName>
    <definedName name="Periodic_rated">Annual_interest_rated/Payments_per_yeard</definedName>
    <definedName name="Periodic_rateGAP">Annual_interest_rateGAP/Payments_per_yearGAP</definedName>
    <definedName name="Pmt_to_use">'Amortization-Bank'!$C$16</definedName>
    <definedName name="Pmt_to_used">#REF!</definedName>
    <definedName name="Pmt_to_useGAP">'Amortization-Gap'!$C$16</definedName>
    <definedName name="Principal">IF('Amortization-Bank'!IS1&lt;&gt;"",MIN('Amortization-Bank'!IU1,Pmt_to_use-'Amortization-Bank'!IV1),"")</definedName>
    <definedName name="Principald">IF(#REF!&lt;&gt;"",MIN(#REF!,Pmt_to_used-#REF!),"")</definedName>
    <definedName name="PrincipalGAP">IF('Amortization-Gap'!IS1&lt;&gt;"",MIN('Amortization-Gap'!IU1,Pmt_to_useGAP-'Amortization-Gap'!IV1),"")</definedName>
    <definedName name="_xlnm.Print_Area" localSheetId="4">'Balance Sheet'!$A$1:$I$48</definedName>
    <definedName name="_xlnm.Print_Area" localSheetId="9">'Breakeven'!$A$1:$G$37</definedName>
    <definedName name="Print_Area_Reset">OFFSET(Full_Print,0,0,Last_Row)</definedName>
    <definedName name="Show.Date">IF('Amortization-Bank'!IV1&lt;&gt;"",DATE(YEAR(First_payment_due),MONTH(First_payment_due)+('Amortization-Bank'!IV1-1)*12/Payments_per_year,DAY(First_payment_due)),"")</definedName>
    <definedName name="Show.Dated">IF(#REF!&lt;&gt;"",DATE(YEAR(First_payment_dued),MONTH(First_payment_dued)+(#REF!-1)*12/Payments_per_yeard,DAY(First_payment_dued)),"")</definedName>
    <definedName name="Show.DateGAP">IF('Amortization-Gap'!IV1&lt;&gt;"",DATE(YEAR(First_payment_dueGAP),MONTH(First_payment_dueGAP)+('Amortization-Gap'!IV1-1)*12/Payments_per_yearGAP,DAY(First_payment_dueGAP)),"")</definedName>
    <definedName name="Table_beg_bal">'Amortization-Bank'!$G$16</definedName>
    <definedName name="Table_beg_bald">#REF!</definedName>
    <definedName name="Table_beg_balGAP">'Amortization-Gap'!$G$16</definedName>
    <definedName name="Table_prior_interest">'Amortization-Bank'!$G$17</definedName>
    <definedName name="Table_prior_interestd">#REF!</definedName>
    <definedName name="Table_prior_interestGAP">'Amortization-Gap'!$G$17</definedName>
    <definedName name="Term_in_years">'Amortization-Bank'!$C$9</definedName>
    <definedName name="Term_in_yearsd">#REF!</definedName>
    <definedName name="Term_in_yearsGAP">'Amortization-Gap'!$C$9</definedName>
    <definedName name="Total_Payment">Scheduled_Payment+Extra_Payment</definedName>
    <definedName name="Total_payments">Payments_per_year*Term_in_years</definedName>
    <definedName name="Total_paymentsd">Payments_per_yeard*Term_in_yearsd</definedName>
    <definedName name="Total_paymentsGAP">Payments_per_yearGAP*Term_in_yearsGAP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<sst xmlns="http://schemas.openxmlformats.org/spreadsheetml/2006/main" count="584" uniqueCount="281">
  <si>
    <t>Total Sources of Funds</t>
  </si>
  <si>
    <t>Land</t>
  </si>
  <si>
    <t>Building</t>
  </si>
  <si>
    <t>Equipment</t>
  </si>
  <si>
    <t>Inventory</t>
  </si>
  <si>
    <t>Vehicles</t>
  </si>
  <si>
    <t>Cash on Hand</t>
  </si>
  <si>
    <t>Cash Sales</t>
  </si>
  <si>
    <t>Collections from Credit Accounts</t>
  </si>
  <si>
    <t>Total Cash Receipts</t>
  </si>
  <si>
    <t>Total Cash Available</t>
  </si>
  <si>
    <t>Cost of Goods Sold</t>
  </si>
  <si>
    <t>Gross Wages</t>
  </si>
  <si>
    <t>Payroll Expense</t>
  </si>
  <si>
    <t>Supplies (office &amp; operating)</t>
  </si>
  <si>
    <t>Repairs and Maintenance</t>
  </si>
  <si>
    <t>Advertising</t>
  </si>
  <si>
    <t>Car, Delivery, and Travel</t>
  </si>
  <si>
    <t>Accounting and Legal</t>
  </si>
  <si>
    <t>Telephone</t>
  </si>
  <si>
    <t>Utilities</t>
  </si>
  <si>
    <t>Insurance</t>
  </si>
  <si>
    <t>Interest</t>
  </si>
  <si>
    <t>Other Expenses</t>
  </si>
  <si>
    <t>Sub-total</t>
  </si>
  <si>
    <t>Income Tax Reserve</t>
  </si>
  <si>
    <t>Owners Withdrawal</t>
  </si>
  <si>
    <t>Total Cash Paid Out</t>
  </si>
  <si>
    <t>Estimate</t>
  </si>
  <si>
    <t>Total</t>
  </si>
  <si>
    <t>Projected Income Statement</t>
  </si>
  <si>
    <t>Income</t>
  </si>
  <si>
    <t>Gross Profit</t>
  </si>
  <si>
    <t>Expenses</t>
  </si>
  <si>
    <t>Employee Wages</t>
  </si>
  <si>
    <t>Supplies</t>
  </si>
  <si>
    <t>Other</t>
  </si>
  <si>
    <t>Total Expenses</t>
  </si>
  <si>
    <t>Net Profit</t>
  </si>
  <si>
    <t>Less Income Taxes</t>
  </si>
  <si>
    <t>Net Profit after Taxes</t>
  </si>
  <si>
    <t>% of Sales</t>
  </si>
  <si>
    <t>Current Assets:</t>
  </si>
  <si>
    <t>Accounts Receivable</t>
  </si>
  <si>
    <t>Total Current Assets</t>
  </si>
  <si>
    <t>Fixed Assets:</t>
  </si>
  <si>
    <t>Less Acc. Depreciation</t>
  </si>
  <si>
    <t>Total Fixed Assets</t>
  </si>
  <si>
    <t>Current Liabilities:</t>
  </si>
  <si>
    <t>Accounts Payable</t>
  </si>
  <si>
    <t>Total Current Liabilities</t>
  </si>
  <si>
    <t>Long-term Liabilities</t>
  </si>
  <si>
    <t>Note Payable</t>
  </si>
  <si>
    <t>Total long-term liabilities</t>
  </si>
  <si>
    <t>Total liabilities</t>
  </si>
  <si>
    <t>Total Liabilities and Net Worth</t>
  </si>
  <si>
    <t xml:space="preserve">Projected Balance Sheet </t>
  </si>
  <si>
    <t xml:space="preserve">Net Worth: Owner's Equity </t>
  </si>
  <si>
    <t>Total Assets</t>
  </si>
  <si>
    <t>Depreciation</t>
  </si>
  <si>
    <t>Industry</t>
  </si>
  <si>
    <t>Analysis</t>
  </si>
  <si>
    <t>Balance Sheet Ratios(Stability?)</t>
  </si>
  <si>
    <t>Current</t>
  </si>
  <si>
    <t>Current Assets/</t>
  </si>
  <si>
    <t>Current Liabilities</t>
  </si>
  <si>
    <t>Quick</t>
  </si>
  <si>
    <t>Cash + A/R/</t>
  </si>
  <si>
    <t>Debt - Worth</t>
  </si>
  <si>
    <t>Total Liabilities/</t>
  </si>
  <si>
    <t xml:space="preserve">Net Worth   </t>
  </si>
  <si>
    <t>Income Statement Ratios(Earning Power or Profitability?)</t>
  </si>
  <si>
    <t>Gross Margin</t>
  </si>
  <si>
    <t>Gross Profit/</t>
  </si>
  <si>
    <t>Total Sales</t>
  </si>
  <si>
    <t>Net Margin</t>
  </si>
  <si>
    <t>Profit Before Taxes/</t>
  </si>
  <si>
    <t>Asset Management Ratios(Overall Efficiency)</t>
  </si>
  <si>
    <t>Sales-to-Assets</t>
  </si>
  <si>
    <t>Total Sales/</t>
  </si>
  <si>
    <t>Return on Assets</t>
  </si>
  <si>
    <t>Return on Investment</t>
  </si>
  <si>
    <t>Asset Management Ratios(Working Capital or Cash Cycles)</t>
  </si>
  <si>
    <t>Inventory Turnover</t>
  </si>
  <si>
    <t>Days Inventory</t>
  </si>
  <si>
    <t>A/R Turnover</t>
  </si>
  <si>
    <t>Days A/R</t>
  </si>
  <si>
    <t>A/P Turnover</t>
  </si>
  <si>
    <t>Days A/P</t>
  </si>
  <si>
    <t>Principal</t>
  </si>
  <si>
    <t>Loans or Cash Injections</t>
  </si>
  <si>
    <t>Capital Purchases</t>
  </si>
  <si>
    <t xml:space="preserve">Other Startup Costs </t>
  </si>
  <si>
    <t xml:space="preserve">Cash Position </t>
  </si>
  <si>
    <t>Cash</t>
  </si>
  <si>
    <t xml:space="preserve">Merchandise Inventory </t>
  </si>
  <si>
    <t xml:space="preserve">Land </t>
  </si>
  <si>
    <t xml:space="preserve">Total Assets </t>
  </si>
  <si>
    <t>Bank Loan Payable</t>
  </si>
  <si>
    <t xml:space="preserve">Gross Receipts </t>
  </si>
  <si>
    <t>Merchandise Cost</t>
  </si>
  <si>
    <t>Ratio Analysis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</si>
  <si>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</si>
  <si>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</si>
  <si>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</si>
  <si>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</si>
  <si>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</si>
  <si>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</si>
  <si>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</si>
  <si>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</si>
  <si>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</si>
  <si>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</si>
  <si>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</si>
  <si>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</si>
  <si>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% of sales</t>
  </si>
  <si>
    <t>yes</t>
  </si>
  <si>
    <t>Cash on Hand Month 1</t>
  </si>
  <si>
    <t>if no pre start-up</t>
  </si>
  <si>
    <t>Collection on credit acct</t>
  </si>
  <si>
    <t>% of credit sales collected</t>
  </si>
  <si>
    <t>Statement of Cash Flow</t>
  </si>
  <si>
    <t>Payment</t>
  </si>
  <si>
    <t>Year</t>
  </si>
  <si>
    <t>At Start-up</t>
  </si>
  <si>
    <t>COGS same each month</t>
  </si>
  <si>
    <t>Net worth</t>
  </si>
  <si>
    <t>if no start up</t>
  </si>
  <si>
    <t>beginning</t>
  </si>
  <si>
    <t>year1</t>
  </si>
  <si>
    <t>year2</t>
  </si>
  <si>
    <t>year3</t>
  </si>
  <si>
    <t>Collections year1</t>
  </si>
  <si>
    <t>Collections year2</t>
  </si>
  <si>
    <t>Credit Sales year2</t>
  </si>
  <si>
    <t>Credit Sales year3</t>
  </si>
  <si>
    <t>Collections year3</t>
  </si>
  <si>
    <t>Credit Sales year1</t>
  </si>
  <si>
    <t>COGS year1</t>
  </si>
  <si>
    <t>Sales year1</t>
  </si>
  <si>
    <t>COGS year2</t>
  </si>
  <si>
    <t>cash sales year2</t>
  </si>
  <si>
    <t>cash sales year3</t>
  </si>
  <si>
    <t>COGS year3</t>
  </si>
  <si>
    <t xml:space="preserve">    </t>
  </si>
  <si>
    <t>1) List out expense categories</t>
  </si>
  <si>
    <t>2) Determine Costs as Fixed or Variable. Fixed = Expenses that will remain the same regardless of sales level.  Variable expenses go up if sales increase and go down if sales go down(ex. Cost of Inventory, Sales Commissions, etc.)</t>
  </si>
  <si>
    <t>ALL EXPENSES</t>
  </si>
  <si>
    <t>FIXED COSTS</t>
  </si>
  <si>
    <t>VARIABLE COSTS</t>
  </si>
  <si>
    <t>TOTAL FIXED COSTS</t>
  </si>
  <si>
    <t>TOTAL VARIABLE COSTS</t>
  </si>
  <si>
    <t>Contributing Margin</t>
  </si>
  <si>
    <t>Break-Even</t>
  </si>
  <si>
    <t>Income Statement</t>
  </si>
  <si>
    <t>Balance Sheet</t>
  </si>
  <si>
    <t>Cash Flow</t>
  </si>
  <si>
    <t>Cash In</t>
  </si>
  <si>
    <t>Cash Out</t>
  </si>
  <si>
    <t>Breakeven per month</t>
  </si>
  <si>
    <t>Contribution Margin</t>
  </si>
  <si>
    <t>Variable Costs per month</t>
  </si>
  <si>
    <t>Fixed Costs</t>
  </si>
  <si>
    <t>What if?</t>
  </si>
  <si>
    <t>Sales</t>
  </si>
  <si>
    <t>Variable Costs</t>
  </si>
  <si>
    <t>Annual</t>
  </si>
  <si>
    <t>Monthly Percentages</t>
  </si>
  <si>
    <t>Breakeven in Dollars</t>
  </si>
  <si>
    <t>Percent of Increase/Decrease</t>
  </si>
  <si>
    <t>3) Plug in the yearly amounts into the appropriate column or click the corresponding option button.</t>
  </si>
  <si>
    <t>Daily Breakeven (20 Days/Month)</t>
  </si>
  <si>
    <t>Monthly Breakeven</t>
  </si>
  <si>
    <t>1)  These numbers are computed based on the information entered into the Breakeven and CashFlow sheets.</t>
  </si>
  <si>
    <t>1) These numbers are computed based on information from the breakeven and the cash flow sheets.</t>
  </si>
  <si>
    <t>Rent</t>
  </si>
  <si>
    <t>Amortization Table - Gap</t>
  </si>
  <si>
    <t>A simple amortization table covering each payment period of a loan.</t>
  </si>
  <si>
    <r>
      <t xml:space="preserve">1) To use the table, simply change any of the values in the </t>
    </r>
    <r>
      <rPr>
        <b/>
        <sz val="9"/>
        <rFont val="Geneva"/>
        <family val="2"/>
      </rPr>
      <t>Initial Data</t>
    </r>
    <r>
      <rPr>
        <sz val="9"/>
        <rFont val="Geneva"/>
        <family val="2"/>
      </rPr>
      <t xml:space="preserve"> area of the worksheet.</t>
    </r>
  </si>
  <si>
    <r>
      <t xml:space="preserve">2) To print the table, highlight the desired print area, choose </t>
    </r>
    <r>
      <rPr>
        <b/>
        <sz val="9"/>
        <rFont val="Geneva"/>
        <family val="2"/>
      </rPr>
      <t>File</t>
    </r>
    <r>
      <rPr>
        <sz val="10"/>
        <rFont val="Arial"/>
        <family val="0"/>
      </rPr>
      <t xml:space="preserve">, </t>
    </r>
    <r>
      <rPr>
        <b/>
        <sz val="9"/>
        <rFont val="Geneva"/>
        <family val="2"/>
      </rPr>
      <t>Set Print Area</t>
    </r>
    <r>
      <rPr>
        <sz val="10"/>
        <rFont val="Arial"/>
        <family val="0"/>
      </rPr>
      <t xml:space="preserve">, then </t>
    </r>
    <r>
      <rPr>
        <b/>
        <sz val="9"/>
        <rFont val="Geneva"/>
        <family val="2"/>
      </rPr>
      <t>File</t>
    </r>
    <r>
      <rPr>
        <sz val="10"/>
        <rFont val="Arial"/>
        <family val="0"/>
      </rPr>
      <t xml:space="preserve"> and </t>
    </r>
    <r>
      <rPr>
        <b/>
        <sz val="9"/>
        <rFont val="Geneva"/>
        <family val="2"/>
      </rPr>
      <t>Print</t>
    </r>
    <r>
      <rPr>
        <sz val="10"/>
        <rFont val="Arial"/>
        <family val="0"/>
      </rPr>
      <t>.</t>
    </r>
  </si>
  <si>
    <t>Initial Data</t>
  </si>
  <si>
    <t>LOAN DATA</t>
  </si>
  <si>
    <t>TABLE DATA</t>
  </si>
  <si>
    <t>Loan amount:</t>
  </si>
  <si>
    <t>Table starts at date:</t>
  </si>
  <si>
    <t>Annual interest rate:</t>
  </si>
  <si>
    <t>or at payment number:</t>
  </si>
  <si>
    <t>Term in years:</t>
  </si>
  <si>
    <t>Payments per year:</t>
  </si>
  <si>
    <t>First payment due:</t>
  </si>
  <si>
    <t>PERIODIC PAYMENT</t>
  </si>
  <si>
    <t>Entered payment:</t>
  </si>
  <si>
    <t xml:space="preserve">  The table uses the calculated periodic payment amount</t>
  </si>
  <si>
    <t>Calculated payment:</t>
  </si>
  <si>
    <t xml:space="preserve">  unless you enter a value for "Entered payment".</t>
  </si>
  <si>
    <t>CALCULATIONS</t>
  </si>
  <si>
    <t>Use payment of:</t>
  </si>
  <si>
    <t>1st payment in table:</t>
  </si>
  <si>
    <t>Table</t>
  </si>
  <si>
    <t>Beginning</t>
  </si>
  <si>
    <t>Ending</t>
  </si>
  <si>
    <t>Cumulative</t>
  </si>
  <si>
    <t>No.</t>
  </si>
  <si>
    <t>Date</t>
  </si>
  <si>
    <t>Balance</t>
  </si>
  <si>
    <t>Interest-Bank</t>
  </si>
  <si>
    <t>Interest-Gap</t>
  </si>
  <si>
    <t>Amortization Table - Bank</t>
  </si>
  <si>
    <t>Other Current Liabilities-Taxes</t>
  </si>
  <si>
    <t>Phone/Internet</t>
  </si>
  <si>
    <t xml:space="preserve"> </t>
  </si>
  <si>
    <t>Misc.</t>
  </si>
  <si>
    <t>Misc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</si>
  <si>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</si>
  <si>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</si>
  <si>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</si>
  <si>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</si>
  <si>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</si>
  <si>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</si>
  <si>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</si>
  <si>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</si>
  <si>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</si>
  <si>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</si>
  <si>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</si>
  <si>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</si>
  <si>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</si>
  <si>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PROJECT SOURCES &amp; USES OF FUNDS</t>
  </si>
  <si>
    <t>Business Name:</t>
  </si>
  <si>
    <t>Date Prepared:</t>
  </si>
  <si>
    <t>USES OF FUNDS</t>
  </si>
  <si>
    <t>SOURCES OF FUNDS</t>
  </si>
  <si>
    <t>Estimated</t>
  </si>
  <si>
    <t>Use</t>
  </si>
  <si>
    <t>Amount</t>
  </si>
  <si>
    <t>Loan Sources</t>
  </si>
  <si>
    <t>Term</t>
  </si>
  <si>
    <t>Rate</t>
  </si>
  <si>
    <t>Collateral</t>
  </si>
  <si>
    <t>Debt Service</t>
  </si>
  <si>
    <t>Headwaters RC&amp;D</t>
  </si>
  <si>
    <t>Equipment (New)</t>
  </si>
  <si>
    <t>Bank Financing</t>
  </si>
  <si>
    <t>Seller Financing</t>
  </si>
  <si>
    <t>Working Capital (Owner Investment)</t>
  </si>
  <si>
    <t>Borrower Cash Investment</t>
  </si>
  <si>
    <t>Equipment (Owner Contribution)</t>
  </si>
  <si>
    <t>Borrower Equip. Investment</t>
  </si>
  <si>
    <t>Total Uses of Funds:</t>
  </si>
  <si>
    <t xml:space="preserve">Year:  </t>
  </si>
  <si>
    <t xml:space="preserve"> Company Name:</t>
  </si>
  <si>
    <t>Complete actual first payment date.</t>
  </si>
  <si>
    <t>Interest-Bank *</t>
  </si>
  <si>
    <t>Interest-Gap **</t>
  </si>
  <si>
    <t>** Will populate from Amortization - Gap</t>
  </si>
  <si>
    <t>*  Will populate from Amortization - Bank</t>
  </si>
  <si>
    <t>Loan Principal Payment-Bank *</t>
  </si>
  <si>
    <t>Loan Principal Payment-Gap **</t>
  </si>
  <si>
    <t>Year 2</t>
  </si>
  <si>
    <t>Year 3</t>
  </si>
  <si>
    <t>Year 1</t>
  </si>
  <si>
    <t>Sales Increase:</t>
  </si>
  <si>
    <t>Net Profit After Taxes</t>
  </si>
  <si>
    <t>Available for Debt Service</t>
  </si>
  <si>
    <t>Net Profit After Debt Service</t>
  </si>
  <si>
    <t>Debt Service Coverage</t>
  </si>
  <si>
    <t>D E B T   S E R V I C E   A N A L Y S I S</t>
  </si>
  <si>
    <t>:1</t>
  </si>
  <si>
    <t>End of Year 1</t>
  </si>
  <si>
    <t>End of Year 2</t>
  </si>
  <si>
    <t>End of Year 3</t>
  </si>
  <si>
    <t>Buildings</t>
  </si>
  <si>
    <t>Gap Loan Payable</t>
  </si>
  <si>
    <t>Other long-term debt</t>
  </si>
  <si>
    <t>Current Portion LTD-Bank Loan</t>
  </si>
  <si>
    <t>Current Portion LTD-Gap Loan</t>
  </si>
  <si>
    <t>Working  Capital</t>
  </si>
  <si>
    <t>Current Ratio</t>
  </si>
  <si>
    <t>Quick Ratio</t>
  </si>
  <si>
    <t>Debt-to-Equity</t>
  </si>
  <si>
    <t>Current Portion LTD-Other Debt</t>
  </si>
  <si>
    <t>SOURCES &amp; USES SHOULD BE EQUAL.</t>
  </si>
  <si>
    <t>Actual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</si>
</sst>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"/>
    <numFmt numFmtId="167" formatCode="mm/dd/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%"/>
    <numFmt numFmtId="171" formatCode="[$-409]dddd\,\ mmmm\ dd\,\ yyyy"/>
    <numFmt numFmtId="172" formatCode="[$-409]h:mm:ss\ AM/PM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&quot;$&quot;* #,##0.000000000_);_(&quot;$&quot;* \(#,##0.000000000\);_(&quot;$&quot;* &quot;-&quot;??_);_(@_)"/>
    <numFmt numFmtId="180" formatCode="_(&quot;$&quot;* #,##0.0000000000_);_(&quot;$&quot;* \(#,##0.0000000000\);_(&quot;$&quot;* &quot;-&quot;??_);_(@_)"/>
    <numFmt numFmtId="181" formatCode="_(&quot;$&quot;* #,##0.00000000000_);_(&quot;$&quot;* \(#,##0.00000000000\);_(&quot;$&quot;* &quot;-&quot;??_);_(@_)"/>
    <numFmt numFmtId="182" formatCode="_(&quot;$&quot;* #,##0.000000000000_);_(&quot;$&quot;* \(#,##0.000000000000\);_(&quot;$&quot;* &quot;-&quot;??_);_(@_)"/>
    <numFmt numFmtId="183" formatCode="_(&quot;$&quot;* #,##0.0000000000000_);_(&quot;$&quot;* \(#,##0.0000000000000\);_(&quot;$&quot;* &quot;-&quot;??_);_(@_)"/>
    <numFmt numFmtId="184" formatCode="&quot;$&quot;#,##0.00"/>
    <numFmt numFmtId="185" formatCode="0.000"/>
    <numFmt numFmtId="186" formatCode="&quot;$&quot;#,##0.000"/>
    <numFmt numFmtId="187" formatCode="&quot;$&quot;#,##0\ ;\(&quot;$&quot;#,##0\)"/>
    <numFmt numFmtId="188" formatCode="&quot;$&quot;#,##0\ ;[Red]\(&quot;$&quot;#,##0\)"/>
    <numFmt numFmtId="189" formatCode="&quot;$&quot;#,##0.00\ ;\(&quot;$&quot;#,##0.00\)"/>
    <numFmt numFmtId="190" formatCode="&quot;$&quot;#,##0.00\ ;[Red]\(&quot;$&quot;#,##0.00\)"/>
    <numFmt numFmtId="191" formatCode="m/d"/>
    <numFmt numFmtId="192" formatCode="#,##0.0"/>
    <numFmt numFmtId="193" formatCode="#,##0.000"/>
    <numFmt numFmtId="194" formatCode="0_);\(0\)"/>
    <numFmt numFmtId="195" formatCode="mmmm\ d\,\ yyyy"/>
    <numFmt numFmtId="196" formatCode="d\-mmm\-yyyy"/>
    <numFmt numFmtId="197" formatCode="mmm\-yyyy"/>
    <numFmt numFmtId="198" formatCode="0_)"/>
    <numFmt numFmtId="199" formatCode="0.00%_)"/>
    <numFmt numFmtId="200" formatCode="m/d/yyyy_)"/>
    <numFmt numFmtId="201" formatCode="0.00?%_)"/>
    <numFmt numFmtId="202" formatCode="0.0??%_)"/>
    <numFmt numFmtId="203" formatCode="&quot;$&quot;#,##0.0"/>
    <numFmt numFmtId="204" formatCode="&quot;$&quot;#,##0.0000"/>
    <numFmt numFmtId="205" formatCode="&quot;$&quot;#,##0.00000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indexed="24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4"/>
      <name val="Arial"/>
      <family val="2"/>
    </font>
    <font>
      <b/>
      <sz val="12"/>
      <color indexed="24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1"/>
      <color indexed="10"/>
      <name val="Arial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20"/>
      <name val="Geneva"/>
      <family val="2"/>
    </font>
    <font>
      <sz val="20"/>
      <name val="Geneva"/>
      <family val="2"/>
    </font>
    <font>
      <sz val="9"/>
      <name val="Geneva"/>
      <family val="2"/>
    </font>
    <font>
      <b/>
      <sz val="9"/>
      <name val="Geneva"/>
      <family val="2"/>
    </font>
    <font>
      <b/>
      <sz val="18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37" fontId="10" fillId="26" borderId="1" applyBorder="0" applyProtection="0">
      <alignment vertical="center"/>
    </xf>
    <xf numFmtId="0" fontId="53" fillId="27" borderId="0" applyNumberFormat="0" applyBorder="0" applyAlignment="0" applyProtection="0"/>
    <xf numFmtId="0" fontId="54" fillId="28" borderId="2" applyNumberFormat="0" applyAlignment="0" applyProtection="0"/>
    <xf numFmtId="0" fontId="5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7" fillId="30" borderId="0" applyNumberFormat="0" applyBorder="0" applyAlignment="0" applyProtection="0"/>
    <xf numFmtId="37" fontId="12" fillId="31" borderId="4" applyBorder="0">
      <alignment horizontal="left" vertical="center" indent="1"/>
      <protection/>
    </xf>
    <xf numFmtId="37" fontId="13" fillId="32" borderId="5" applyFill="0">
      <alignment vertical="center"/>
      <protection/>
    </xf>
    <xf numFmtId="0" fontId="13" fillId="33" borderId="6" applyNumberFormat="0">
      <alignment horizontal="left" vertical="top" indent="1"/>
      <protection/>
    </xf>
    <xf numFmtId="0" fontId="13" fillId="26" borderId="0" applyBorder="0">
      <alignment horizontal="left" vertical="center" indent="1"/>
      <protection/>
    </xf>
    <xf numFmtId="0" fontId="13" fillId="0" borderId="6" applyNumberFormat="0" applyFill="0">
      <alignment horizontal="centerContinuous" vertical="top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4" borderId="2" applyNumberFormat="0" applyAlignment="0" applyProtection="0"/>
    <xf numFmtId="0" fontId="60" fillId="0" borderId="8" applyNumberFormat="0" applyFill="0" applyAlignment="0" applyProtection="0"/>
    <xf numFmtId="0" fontId="61" fillId="35" borderId="0" applyNumberFormat="0" applyBorder="0" applyAlignment="0" applyProtection="0"/>
    <xf numFmtId="37" fontId="10" fillId="26" borderId="9" applyBorder="0">
      <alignment horizontal="left" vertical="center" indent="2"/>
      <protection/>
    </xf>
    <xf numFmtId="0" fontId="11" fillId="0" borderId="0">
      <alignment/>
      <protection/>
    </xf>
    <xf numFmtId="0" fontId="0" fillId="36" borderId="10" applyNumberFormat="0" applyFont="0" applyAlignment="0" applyProtection="0"/>
    <xf numFmtId="0" fontId="62" fillId="28" borderId="11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12" applyNumberFormat="0" applyFont="0" applyFill="0" applyAlignment="0" applyProtection="0"/>
    <xf numFmtId="0" fontId="64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13" xfId="46" applyFont="1" applyBorder="1" applyAlignment="1">
      <alignment/>
    </xf>
    <xf numFmtId="44" fontId="0" fillId="0" borderId="14" xfId="46" applyFont="1" applyBorder="1" applyAlignment="1">
      <alignment/>
    </xf>
    <xf numFmtId="44" fontId="0" fillId="0" borderId="15" xfId="46" applyFont="1" applyBorder="1" applyAlignment="1">
      <alignment/>
    </xf>
    <xf numFmtId="44" fontId="0" fillId="0" borderId="9" xfId="46" applyFont="1" applyBorder="1" applyAlignment="1">
      <alignment/>
    </xf>
    <xf numFmtId="164" fontId="0" fillId="0" borderId="0" xfId="71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46" applyFont="1" applyAlignment="1">
      <alignment/>
    </xf>
    <xf numFmtId="0" fontId="5" fillId="0" borderId="0" xfId="0" applyFont="1" applyAlignment="1">
      <alignment horizontal="right"/>
    </xf>
    <xf numFmtId="0" fontId="5" fillId="32" borderId="16" xfId="0" applyFont="1" applyFill="1" applyBorder="1" applyAlignment="1">
      <alignment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165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 vertical="justify"/>
    </xf>
    <xf numFmtId="165" fontId="4" fillId="0" borderId="19" xfId="0" applyNumberFormat="1" applyFont="1" applyBorder="1" applyAlignment="1">
      <alignment vertical="justify"/>
    </xf>
    <xf numFmtId="0" fontId="0" fillId="0" borderId="0" xfId="0" applyBorder="1" applyAlignment="1">
      <alignment horizontal="center"/>
    </xf>
    <xf numFmtId="0" fontId="2" fillId="37" borderId="20" xfId="0" applyFont="1" applyFill="1" applyBorder="1" applyAlignment="1">
      <alignment/>
    </xf>
    <xf numFmtId="0" fontId="2" fillId="37" borderId="21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4" fontId="2" fillId="37" borderId="19" xfId="0" applyNumberFormat="1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165" fontId="8" fillId="37" borderId="19" xfId="0" applyNumberFormat="1" applyFont="1" applyFill="1" applyBorder="1" applyAlignment="1">
      <alignment/>
    </xf>
    <xf numFmtId="2" fontId="8" fillId="37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7" borderId="19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183" fontId="0" fillId="0" borderId="0" xfId="0" applyNumberFormat="1" applyAlignment="1">
      <alignment/>
    </xf>
    <xf numFmtId="44" fontId="1" fillId="0" borderId="14" xfId="46" applyFont="1" applyBorder="1" applyAlignment="1">
      <alignment/>
    </xf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9" xfId="0" applyBorder="1" applyAlignment="1">
      <alignment/>
    </xf>
    <xf numFmtId="184" fontId="0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184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5" fontId="1" fillId="0" borderId="0" xfId="0" applyNumberFormat="1" applyFont="1" applyBorder="1" applyAlignment="1">
      <alignment horizontal="center" wrapText="1"/>
    </xf>
    <xf numFmtId="10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Alignment="1">
      <alignment horizontal="center" wrapText="1"/>
    </xf>
    <xf numFmtId="0" fontId="17" fillId="0" borderId="0" xfId="68" applyFont="1" applyAlignment="1">
      <alignment vertical="top" wrapText="1"/>
      <protection/>
    </xf>
    <xf numFmtId="0" fontId="18" fillId="0" borderId="0" xfId="68" applyFont="1" applyAlignment="1">
      <alignment vertical="top" wrapText="1"/>
      <protection/>
    </xf>
    <xf numFmtId="0" fontId="4" fillId="0" borderId="0" xfId="68" applyFont="1">
      <alignment/>
      <protection/>
    </xf>
    <xf numFmtId="1" fontId="5" fillId="0" borderId="19" xfId="68" applyNumberFormat="1" applyFont="1" applyBorder="1" applyAlignment="1" applyProtection="1">
      <alignment vertical="top" wrapText="1"/>
      <protection locked="0"/>
    </xf>
    <xf numFmtId="0" fontId="18" fillId="0" borderId="19" xfId="68" applyFont="1" applyBorder="1" applyAlignment="1">
      <alignment vertical="top" wrapText="1"/>
      <protection/>
    </xf>
    <xf numFmtId="37" fontId="19" fillId="26" borderId="19" xfId="67" applyFont="1" applyBorder="1" applyAlignment="1">
      <alignment horizontal="left" vertical="top" wrapText="1"/>
      <protection/>
    </xf>
    <xf numFmtId="46" fontId="18" fillId="0" borderId="19" xfId="68" applyNumberFormat="1" applyFont="1" applyBorder="1" applyAlignment="1">
      <alignment vertical="top" wrapText="1"/>
      <protection/>
    </xf>
    <xf numFmtId="0" fontId="4" fillId="0" borderId="19" xfId="68" applyFont="1" applyBorder="1" applyAlignment="1">
      <alignment vertical="top" wrapText="1"/>
      <protection/>
    </xf>
    <xf numFmtId="0" fontId="4" fillId="0" borderId="19" xfId="68" applyFont="1" applyBorder="1" applyAlignment="1">
      <alignment vertical="top" wrapText="1"/>
      <protection/>
    </xf>
    <xf numFmtId="0" fontId="4" fillId="0" borderId="0" xfId="68" applyFont="1" applyAlignment="1">
      <alignment vertical="top" wrapText="1"/>
      <protection/>
    </xf>
    <xf numFmtId="0" fontId="5" fillId="0" borderId="19" xfId="68" applyFont="1" applyBorder="1" applyAlignment="1">
      <alignment vertical="top" wrapText="1"/>
      <protection/>
    </xf>
    <xf numFmtId="0" fontId="18" fillId="0" borderId="19" xfId="68" applyFont="1" applyBorder="1" applyAlignment="1">
      <alignment vertical="top" wrapText="1"/>
      <protection/>
    </xf>
    <xf numFmtId="0" fontId="4" fillId="0" borderId="0" xfId="68" applyFont="1">
      <alignment/>
      <protection/>
    </xf>
    <xf numFmtId="0" fontId="4" fillId="0" borderId="0" xfId="68" applyFont="1" applyBorder="1" applyAlignment="1">
      <alignment vertical="top" wrapText="1"/>
      <protection/>
    </xf>
    <xf numFmtId="0" fontId="18" fillId="0" borderId="0" xfId="68" applyFont="1" applyBorder="1" applyAlignment="1">
      <alignment vertical="top" wrapText="1"/>
      <protection/>
    </xf>
    <xf numFmtId="44" fontId="0" fillId="0" borderId="13" xfId="0" applyNumberFormat="1" applyBorder="1" applyAlignment="1">
      <alignment/>
    </xf>
    <xf numFmtId="0" fontId="1" fillId="0" borderId="4" xfId="0" applyFont="1" applyBorder="1" applyAlignment="1">
      <alignment/>
    </xf>
    <xf numFmtId="4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165" fontId="0" fillId="0" borderId="26" xfId="0" applyNumberFormat="1" applyBorder="1" applyAlignment="1">
      <alignment horizontal="center"/>
    </xf>
    <xf numFmtId="44" fontId="0" fillId="0" borderId="19" xfId="46" applyFont="1" applyBorder="1" applyAlignment="1">
      <alignment horizontal="center" wrapText="1"/>
    </xf>
    <xf numFmtId="44" fontId="0" fillId="0" borderId="0" xfId="46" applyFont="1" applyBorder="1" applyAlignment="1">
      <alignment horizontal="center" wrapText="1"/>
    </xf>
    <xf numFmtId="169" fontId="2" fillId="0" borderId="6" xfId="46" applyNumberFormat="1" applyFont="1" applyBorder="1" applyAlignment="1">
      <alignment horizontal="center" wrapText="1"/>
    </xf>
    <xf numFmtId="169" fontId="1" fillId="0" borderId="27" xfId="46" applyNumberFormat="1" applyFont="1" applyBorder="1" applyAlignment="1">
      <alignment horizontal="center" wrapText="1"/>
    </xf>
    <xf numFmtId="44" fontId="0" fillId="0" borderId="19" xfId="46" applyNumberFormat="1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44" fontId="0" fillId="0" borderId="24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6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6" xfId="0" applyFont="1" applyBorder="1" applyAlignment="1">
      <alignment/>
    </xf>
    <xf numFmtId="44" fontId="0" fillId="0" borderId="6" xfId="0" applyNumberFormat="1" applyBorder="1" applyAlignment="1">
      <alignment horizontal="center"/>
    </xf>
    <xf numFmtId="44" fontId="0" fillId="0" borderId="26" xfId="0" applyNumberFormat="1" applyBorder="1" applyAlignment="1">
      <alignment horizontal="center"/>
    </xf>
    <xf numFmtId="0" fontId="1" fillId="0" borderId="28" xfId="0" applyFont="1" applyBorder="1" applyAlignment="1">
      <alignment wrapText="1"/>
    </xf>
    <xf numFmtId="0" fontId="0" fillId="0" borderId="29" xfId="0" applyBorder="1" applyAlignment="1">
      <alignment/>
    </xf>
    <xf numFmtId="7" fontId="0" fillId="0" borderId="19" xfId="46" applyNumberFormat="1" applyFont="1" applyBorder="1" applyAlignment="1">
      <alignment horizontal="center" wrapText="1"/>
    </xf>
    <xf numFmtId="44" fontId="0" fillId="0" borderId="0" xfId="0" applyNumberFormat="1" applyBorder="1" applyAlignment="1">
      <alignment/>
    </xf>
    <xf numFmtId="44" fontId="0" fillId="0" borderId="24" xfId="0" applyNumberFormat="1" applyBorder="1" applyAlignment="1">
      <alignment/>
    </xf>
    <xf numFmtId="0" fontId="0" fillId="0" borderId="30" xfId="0" applyBorder="1" applyAlignment="1">
      <alignment/>
    </xf>
    <xf numFmtId="44" fontId="0" fillId="0" borderId="31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9" fontId="0" fillId="0" borderId="0" xfId="71" applyFont="1" applyBorder="1" applyAlignment="1">
      <alignment/>
    </xf>
    <xf numFmtId="9" fontId="0" fillId="0" borderId="6" xfId="71" applyFont="1" applyBorder="1" applyAlignment="1">
      <alignment/>
    </xf>
    <xf numFmtId="44" fontId="22" fillId="0" borderId="16" xfId="46" applyFont="1" applyBorder="1" applyAlignment="1">
      <alignment horizontal="centerContinuous"/>
    </xf>
    <xf numFmtId="9" fontId="0" fillId="0" borderId="0" xfId="71" applyFont="1" applyBorder="1" applyAlignment="1">
      <alignment horizontal="center"/>
    </xf>
    <xf numFmtId="9" fontId="0" fillId="0" borderId="24" xfId="71" applyFont="1" applyBorder="1" applyAlignment="1">
      <alignment horizontal="center"/>
    </xf>
    <xf numFmtId="9" fontId="0" fillId="0" borderId="24" xfId="71" applyFont="1" applyBorder="1" applyAlignment="1">
      <alignment/>
    </xf>
    <xf numFmtId="9" fontId="0" fillId="0" borderId="26" xfId="71" applyFont="1" applyBorder="1" applyAlignment="1">
      <alignment/>
    </xf>
    <xf numFmtId="44" fontId="0" fillId="0" borderId="27" xfId="46" applyFont="1" applyBorder="1" applyAlignment="1">
      <alignment/>
    </xf>
    <xf numFmtId="44" fontId="0" fillId="0" borderId="32" xfId="46" applyFont="1" applyBorder="1" applyAlignment="1">
      <alignment/>
    </xf>
    <xf numFmtId="44" fontId="1" fillId="0" borderId="33" xfId="46" applyFont="1" applyBorder="1" applyAlignment="1">
      <alignment horizontal="center"/>
    </xf>
    <xf numFmtId="44" fontId="1" fillId="0" borderId="34" xfId="46" applyFont="1" applyBorder="1" applyAlignment="1">
      <alignment horizontal="center"/>
    </xf>
    <xf numFmtId="0" fontId="0" fillId="0" borderId="16" xfId="0" applyBorder="1" applyAlignment="1">
      <alignment/>
    </xf>
    <xf numFmtId="7" fontId="0" fillId="0" borderId="19" xfId="46" applyNumberFormat="1" applyFont="1" applyBorder="1" applyAlignment="1" quotePrefix="1">
      <alignment horizontal="center" wrapText="1"/>
    </xf>
    <xf numFmtId="44" fontId="1" fillId="0" borderId="27" xfId="46" applyFont="1" applyBorder="1" applyAlignment="1">
      <alignment horizontal="center" wrapText="1"/>
    </xf>
    <xf numFmtId="0" fontId="0" fillId="26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6" borderId="4" xfId="0" applyFill="1" applyBorder="1" applyAlignment="1" applyProtection="1">
      <alignment horizontal="center"/>
      <protection locked="0"/>
    </xf>
    <xf numFmtId="0" fontId="24" fillId="26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5" fillId="26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26" borderId="13" xfId="0" applyFont="1" applyFill="1" applyBorder="1" applyAlignment="1" applyProtection="1">
      <alignment/>
      <protection locked="0"/>
    </xf>
    <xf numFmtId="0" fontId="0" fillId="26" borderId="13" xfId="0" applyFill="1" applyBorder="1" applyAlignment="1" applyProtection="1">
      <alignment horizontal="right"/>
      <protection locked="0"/>
    </xf>
    <xf numFmtId="7" fontId="28" fillId="26" borderId="13" xfId="0" applyNumberFormat="1" applyFont="1" applyFill="1" applyBorder="1" applyAlignment="1" applyProtection="1">
      <alignment horizontal="left"/>
      <protection locked="0"/>
    </xf>
    <xf numFmtId="0" fontId="0" fillId="26" borderId="13" xfId="0" applyFill="1" applyBorder="1" applyAlignment="1" applyProtection="1">
      <alignment/>
      <protection locked="0"/>
    </xf>
    <xf numFmtId="0" fontId="0" fillId="26" borderId="0" xfId="0" applyFill="1" applyAlignment="1" applyProtection="1">
      <alignment horizontal="right"/>
      <protection locked="0"/>
    </xf>
    <xf numFmtId="6" fontId="28" fillId="26" borderId="4" xfId="0" applyNumberFormat="1" applyFont="1" applyFill="1" applyBorder="1" applyAlignment="1" applyProtection="1">
      <alignment horizontal="center"/>
      <protection locked="0"/>
    </xf>
    <xf numFmtId="14" fontId="0" fillId="26" borderId="4" xfId="0" applyNumberFormat="1" applyFill="1" applyBorder="1" applyAlignment="1" applyProtection="1">
      <alignment horizontal="left"/>
      <protection locked="0"/>
    </xf>
    <xf numFmtId="7" fontId="0" fillId="0" borderId="0" xfId="0" applyNumberFormat="1" applyFill="1" applyAlignment="1" applyProtection="1">
      <alignment/>
      <protection locked="0"/>
    </xf>
    <xf numFmtId="10" fontId="0" fillId="26" borderId="4" xfId="0" applyNumberFormat="1" applyFill="1" applyBorder="1" applyAlignment="1" applyProtection="1">
      <alignment horizontal="center"/>
      <protection locked="0"/>
    </xf>
    <xf numFmtId="0" fontId="0" fillId="26" borderId="4" xfId="0" applyFill="1" applyBorder="1" applyAlignment="1" applyProtection="1">
      <alignment horizontal="left"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26" borderId="4" xfId="0" applyNumberFormat="1" applyFill="1" applyBorder="1" applyAlignment="1" applyProtection="1">
      <alignment horizontal="center"/>
      <protection locked="0"/>
    </xf>
    <xf numFmtId="7" fontId="28" fillId="26" borderId="0" xfId="0" applyNumberFormat="1" applyFont="1" applyFill="1" applyAlignment="1" applyProtection="1">
      <alignment/>
      <protection locked="0"/>
    </xf>
    <xf numFmtId="0" fontId="29" fillId="26" borderId="0" xfId="0" applyFont="1" applyFill="1" applyAlignment="1" applyProtection="1">
      <alignment/>
      <protection locked="0"/>
    </xf>
    <xf numFmtId="7" fontId="28" fillId="26" borderId="0" xfId="0" applyNumberFormat="1" applyFont="1" applyFill="1" applyAlignment="1" applyProtection="1">
      <alignment/>
      <protection/>
    </xf>
    <xf numFmtId="7" fontId="30" fillId="26" borderId="0" xfId="0" applyNumberFormat="1" applyFont="1" applyFill="1" applyAlignment="1" applyProtection="1">
      <alignment/>
      <protection/>
    </xf>
    <xf numFmtId="0" fontId="0" fillId="26" borderId="0" xfId="0" applyFill="1" applyAlignment="1" applyProtection="1">
      <alignment horizontal="right"/>
      <protection/>
    </xf>
    <xf numFmtId="4" fontId="30" fillId="26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 quotePrefix="1">
      <alignment horizontal="left"/>
      <protection locked="0"/>
    </xf>
    <xf numFmtId="0" fontId="0" fillId="26" borderId="0" xfId="0" applyFill="1" applyAlignment="1" applyProtection="1">
      <alignment horizontal="left"/>
      <protection/>
    </xf>
    <xf numFmtId="0" fontId="1" fillId="26" borderId="0" xfId="0" applyFont="1" applyFill="1" applyAlignment="1" applyProtection="1">
      <alignment horizontal="center"/>
      <protection locked="0"/>
    </xf>
    <xf numFmtId="0" fontId="28" fillId="26" borderId="35" xfId="0" applyFont="1" applyFill="1" applyBorder="1" applyAlignment="1" applyProtection="1">
      <alignment horizontal="center"/>
      <protection locked="0"/>
    </xf>
    <xf numFmtId="0" fontId="28" fillId="26" borderId="36" xfId="0" applyFont="1" applyFill="1" applyBorder="1" applyAlignment="1" applyProtection="1">
      <alignment horizontal="center"/>
      <protection locked="0"/>
    </xf>
    <xf numFmtId="0" fontId="0" fillId="26" borderId="19" xfId="0" applyFill="1" applyBorder="1" applyAlignment="1" applyProtection="1">
      <alignment horizontal="center"/>
      <protection/>
    </xf>
    <xf numFmtId="14" fontId="0" fillId="26" borderId="19" xfId="0" applyNumberFormat="1" applyFill="1" applyBorder="1" applyAlignment="1" applyProtection="1">
      <alignment horizontal="center"/>
      <protection/>
    </xf>
    <xf numFmtId="4" fontId="0" fillId="26" borderId="19" xfId="0" applyNumberFormat="1" applyFont="1" applyFill="1" applyBorder="1" applyAlignment="1" applyProtection="1">
      <alignment horizontal="center"/>
      <protection/>
    </xf>
    <xf numFmtId="4" fontId="0" fillId="26" borderId="19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 locked="0"/>
    </xf>
    <xf numFmtId="0" fontId="0" fillId="26" borderId="36" xfId="0" applyFill="1" applyBorder="1" applyAlignment="1" applyProtection="1">
      <alignment horizontal="center"/>
      <protection/>
    </xf>
    <xf numFmtId="14" fontId="0" fillId="26" borderId="36" xfId="0" applyNumberFormat="1" applyFill="1" applyBorder="1" applyAlignment="1" applyProtection="1">
      <alignment horizontal="center"/>
      <protection/>
    </xf>
    <xf numFmtId="4" fontId="0" fillId="26" borderId="36" xfId="0" applyNumberFormat="1" applyFill="1" applyBorder="1" applyAlignment="1" applyProtection="1">
      <alignment horizontal="center"/>
      <protection/>
    </xf>
    <xf numFmtId="4" fontId="0" fillId="26" borderId="36" xfId="0" applyNumberFormat="1" applyFont="1" applyFill="1" applyBorder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 locked="0"/>
    </xf>
    <xf numFmtId="0" fontId="32" fillId="0" borderId="37" xfId="0" applyFont="1" applyFill="1" applyBorder="1" applyAlignment="1">
      <alignment horizontal="center"/>
    </xf>
    <xf numFmtId="167" fontId="32" fillId="0" borderId="38" xfId="46" applyNumberFormat="1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6" fontId="33" fillId="0" borderId="27" xfId="46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44" fontId="33" fillId="0" borderId="40" xfId="46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6" fontId="34" fillId="0" borderId="42" xfId="46" applyNumberFormat="1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35" fillId="0" borderId="44" xfId="0" applyFont="1" applyBorder="1" applyAlignment="1">
      <alignment horizontal="center"/>
    </xf>
    <xf numFmtId="6" fontId="16" fillId="0" borderId="45" xfId="46" applyNumberFormat="1" applyFont="1" applyBorder="1" applyAlignment="1">
      <alignment/>
    </xf>
    <xf numFmtId="44" fontId="35" fillId="0" borderId="46" xfId="46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6" fontId="35" fillId="0" borderId="48" xfId="46" applyNumberFormat="1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6" fontId="35" fillId="0" borderId="42" xfId="46" applyNumberFormat="1" applyFont="1" applyBorder="1" applyAlignment="1">
      <alignment horizontal="center"/>
    </xf>
    <xf numFmtId="44" fontId="35" fillId="0" borderId="50" xfId="46" applyFont="1" applyBorder="1" applyAlignment="1">
      <alignment horizontal="center"/>
    </xf>
    <xf numFmtId="0" fontId="16" fillId="0" borderId="51" xfId="0" applyFont="1" applyBorder="1" applyAlignment="1">
      <alignment/>
    </xf>
    <xf numFmtId="6" fontId="16" fillId="0" borderId="42" xfId="46" applyNumberFormat="1" applyFont="1" applyBorder="1" applyAlignment="1">
      <alignment/>
    </xf>
    <xf numFmtId="0" fontId="16" fillId="0" borderId="19" xfId="0" applyFont="1" applyBorder="1" applyAlignment="1">
      <alignment horizontal="center"/>
    </xf>
    <xf numFmtId="164" fontId="16" fillId="0" borderId="19" xfId="71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6" fontId="16" fillId="0" borderId="52" xfId="46" applyNumberFormat="1" applyFont="1" applyBorder="1" applyAlignment="1">
      <alignment horizontal="center"/>
    </xf>
    <xf numFmtId="44" fontId="16" fillId="0" borderId="53" xfId="46" applyFont="1" applyBorder="1" applyAlignment="1">
      <alignment/>
    </xf>
    <xf numFmtId="6" fontId="16" fillId="0" borderId="52" xfId="46" applyNumberFormat="1" applyFont="1" applyBorder="1" applyAlignment="1">
      <alignment/>
    </xf>
    <xf numFmtId="44" fontId="16" fillId="0" borderId="54" xfId="46" applyFont="1" applyBorder="1" applyAlignment="1">
      <alignment/>
    </xf>
    <xf numFmtId="164" fontId="16" fillId="0" borderId="19" xfId="71" applyNumberFormat="1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164" fontId="16" fillId="0" borderId="56" xfId="71" applyNumberFormat="1" applyFont="1" applyFill="1" applyBorder="1" applyAlignment="1">
      <alignment horizontal="center"/>
    </xf>
    <xf numFmtId="0" fontId="16" fillId="0" borderId="41" xfId="0" applyFont="1" applyBorder="1" applyAlignment="1">
      <alignment/>
    </xf>
    <xf numFmtId="9" fontId="16" fillId="0" borderId="19" xfId="71" applyFont="1" applyBorder="1" applyAlignment="1">
      <alignment horizontal="center"/>
    </xf>
    <xf numFmtId="0" fontId="16" fillId="0" borderId="57" xfId="0" applyFont="1" applyBorder="1" applyAlignment="1">
      <alignment/>
    </xf>
    <xf numFmtId="6" fontId="16" fillId="0" borderId="40" xfId="46" applyNumberFormat="1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56" xfId="0" applyFont="1" applyBorder="1" applyAlignment="1">
      <alignment horizontal="center"/>
    </xf>
    <xf numFmtId="9" fontId="16" fillId="0" borderId="56" xfId="7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6" fontId="16" fillId="0" borderId="58" xfId="46" applyNumberFormat="1" applyFont="1" applyBorder="1" applyAlignment="1">
      <alignment horizontal="center"/>
    </xf>
    <xf numFmtId="44" fontId="16" fillId="0" borderId="46" xfId="46" applyFont="1" applyBorder="1" applyAlignment="1">
      <alignment/>
    </xf>
    <xf numFmtId="0" fontId="35" fillId="0" borderId="59" xfId="0" applyFont="1" applyBorder="1" applyAlignment="1">
      <alignment/>
    </xf>
    <xf numFmtId="6" fontId="35" fillId="38" borderId="60" xfId="46" applyNumberFormat="1" applyFont="1" applyFill="1" applyBorder="1" applyAlignment="1">
      <alignment/>
    </xf>
    <xf numFmtId="6" fontId="35" fillId="38" borderId="61" xfId="46" applyNumberFormat="1" applyFont="1" applyFill="1" applyBorder="1" applyAlignment="1">
      <alignment horizontal="center"/>
    </xf>
    <xf numFmtId="44" fontId="16" fillId="0" borderId="62" xfId="46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4" fontId="1" fillId="0" borderId="0" xfId="46" applyFont="1" applyBorder="1" applyAlignment="1">
      <alignment/>
    </xf>
    <xf numFmtId="44" fontId="36" fillId="0" borderId="0" xfId="0" applyNumberFormat="1" applyFont="1" applyBorder="1" applyAlignment="1">
      <alignment/>
    </xf>
    <xf numFmtId="44" fontId="36" fillId="0" borderId="9" xfId="0" applyNumberFormat="1" applyFont="1" applyBorder="1" applyAlignment="1">
      <alignment/>
    </xf>
    <xf numFmtId="44" fontId="36" fillId="0" borderId="13" xfId="0" applyNumberFormat="1" applyFont="1" applyBorder="1" applyAlignment="1">
      <alignment/>
    </xf>
    <xf numFmtId="44" fontId="36" fillId="0" borderId="63" xfId="0" applyNumberFormat="1" applyFont="1" applyBorder="1" applyAlignment="1">
      <alignment/>
    </xf>
    <xf numFmtId="44" fontId="36" fillId="0" borderId="27" xfId="0" applyNumberFormat="1" applyFont="1" applyBorder="1" applyAlignment="1">
      <alignment/>
    </xf>
    <xf numFmtId="1" fontId="36" fillId="0" borderId="6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6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16" fillId="0" borderId="36" xfId="0" applyFont="1" applyBorder="1" applyAlignment="1">
      <alignment horizontal="center"/>
    </xf>
    <xf numFmtId="169" fontId="0" fillId="0" borderId="0" xfId="46" applyNumberFormat="1" applyFont="1" applyAlignment="1">
      <alignment/>
    </xf>
    <xf numFmtId="169" fontId="0" fillId="0" borderId="21" xfId="46" applyNumberFormat="1" applyFont="1" applyBorder="1" applyAlignment="1">
      <alignment/>
    </xf>
    <xf numFmtId="169" fontId="0" fillId="0" borderId="64" xfId="46" applyNumberFormat="1" applyFont="1" applyBorder="1" applyAlignment="1">
      <alignment/>
    </xf>
    <xf numFmtId="169" fontId="1" fillId="0" borderId="65" xfId="46" applyNumberFormat="1" applyFont="1" applyBorder="1" applyAlignment="1">
      <alignment horizontal="center"/>
    </xf>
    <xf numFmtId="169" fontId="1" fillId="0" borderId="0" xfId="46" applyNumberFormat="1" applyFont="1" applyAlignment="1">
      <alignment horizontal="center"/>
    </xf>
    <xf numFmtId="169" fontId="0" fillId="0" borderId="66" xfId="46" applyNumberFormat="1" applyFont="1" applyBorder="1" applyAlignment="1">
      <alignment/>
    </xf>
    <xf numFmtId="169" fontId="0" fillId="0" borderId="36" xfId="46" applyNumberFormat="1" applyFont="1" applyBorder="1" applyAlignment="1">
      <alignment horizontal="center"/>
    </xf>
    <xf numFmtId="169" fontId="0" fillId="0" borderId="67" xfId="46" applyNumberFormat="1" applyFont="1" applyBorder="1" applyAlignment="1">
      <alignment horizontal="center"/>
    </xf>
    <xf numFmtId="169" fontId="0" fillId="0" borderId="0" xfId="46" applyNumberFormat="1" applyFont="1" applyAlignment="1">
      <alignment horizontal="center"/>
    </xf>
    <xf numFmtId="169" fontId="0" fillId="0" borderId="19" xfId="46" applyNumberFormat="1" applyFont="1" applyBorder="1" applyAlignment="1">
      <alignment horizontal="center"/>
    </xf>
    <xf numFmtId="169" fontId="0" fillId="0" borderId="68" xfId="46" applyNumberFormat="1" applyFont="1" applyBorder="1" applyAlignment="1">
      <alignment horizontal="center"/>
    </xf>
    <xf numFmtId="169" fontId="0" fillId="0" borderId="21" xfId="46" applyNumberFormat="1" applyFont="1" applyBorder="1" applyAlignment="1">
      <alignment horizontal="right"/>
    </xf>
    <xf numFmtId="169" fontId="0" fillId="0" borderId="69" xfId="46" applyNumberFormat="1" applyFont="1" applyBorder="1" applyAlignment="1">
      <alignment/>
    </xf>
    <xf numFmtId="169" fontId="0" fillId="0" borderId="18" xfId="46" applyNumberFormat="1" applyFont="1" applyBorder="1" applyAlignment="1">
      <alignment/>
    </xf>
    <xf numFmtId="169" fontId="0" fillId="0" borderId="70" xfId="46" applyNumberFormat="1" applyFont="1" applyBorder="1" applyAlignment="1">
      <alignment/>
    </xf>
    <xf numFmtId="169" fontId="0" fillId="0" borderId="19" xfId="46" applyNumberFormat="1" applyFont="1" applyBorder="1" applyAlignment="1">
      <alignment/>
    </xf>
    <xf numFmtId="169" fontId="0" fillId="0" borderId="68" xfId="46" applyNumberFormat="1" applyFont="1" applyBorder="1" applyAlignment="1">
      <alignment/>
    </xf>
    <xf numFmtId="169" fontId="0" fillId="0" borderId="71" xfId="46" applyNumberFormat="1" applyFont="1" applyBorder="1" applyAlignment="1">
      <alignment/>
    </xf>
    <xf numFmtId="169" fontId="0" fillId="0" borderId="65" xfId="46" applyNumberFormat="1" applyFont="1" applyBorder="1" applyAlignment="1">
      <alignment/>
    </xf>
    <xf numFmtId="169" fontId="1" fillId="0" borderId="66" xfId="46" applyNumberFormat="1" applyFont="1" applyBorder="1" applyAlignment="1">
      <alignment horizontal="right"/>
    </xf>
    <xf numFmtId="169" fontId="0" fillId="0" borderId="36" xfId="46" applyNumberFormat="1" applyFont="1" applyBorder="1" applyAlignment="1">
      <alignment/>
    </xf>
    <xf numFmtId="169" fontId="0" fillId="0" borderId="67" xfId="46" applyNumberFormat="1" applyFont="1" applyBorder="1" applyAlignment="1">
      <alignment/>
    </xf>
    <xf numFmtId="169" fontId="1" fillId="0" borderId="72" xfId="46" applyNumberFormat="1" applyFont="1" applyBorder="1" applyAlignment="1">
      <alignment horizontal="right"/>
    </xf>
    <xf numFmtId="169" fontId="0" fillId="0" borderId="73" xfId="46" applyNumberFormat="1" applyFont="1" applyBorder="1" applyAlignment="1">
      <alignment/>
    </xf>
    <xf numFmtId="169" fontId="0" fillId="0" borderId="74" xfId="46" applyNumberFormat="1" applyFont="1" applyBorder="1" applyAlignment="1">
      <alignment/>
    </xf>
    <xf numFmtId="169" fontId="0" fillId="0" borderId="75" xfId="46" applyNumberFormat="1" applyFont="1" applyBorder="1" applyAlignment="1">
      <alignment/>
    </xf>
    <xf numFmtId="169" fontId="0" fillId="0" borderId="56" xfId="46" applyNumberFormat="1" applyFont="1" applyBorder="1" applyAlignment="1">
      <alignment/>
    </xf>
    <xf numFmtId="169" fontId="0" fillId="0" borderId="4" xfId="46" applyNumberFormat="1" applyFont="1" applyBorder="1" applyAlignment="1">
      <alignment/>
    </xf>
    <xf numFmtId="169" fontId="0" fillId="0" borderId="12" xfId="46" applyNumberFormat="1" applyFont="1" applyBorder="1" applyAlignment="1">
      <alignment/>
    </xf>
    <xf numFmtId="169" fontId="0" fillId="0" borderId="24" xfId="46" applyNumberFormat="1" applyFont="1" applyBorder="1" applyAlignment="1">
      <alignment/>
    </xf>
    <xf numFmtId="169" fontId="0" fillId="0" borderId="21" xfId="46" applyNumberFormat="1" applyFont="1" applyBorder="1" applyAlignment="1">
      <alignment/>
    </xf>
    <xf numFmtId="169" fontId="0" fillId="0" borderId="76" xfId="46" applyNumberFormat="1" applyFont="1" applyBorder="1" applyAlignment="1">
      <alignment/>
    </xf>
    <xf numFmtId="169" fontId="0" fillId="0" borderId="35" xfId="46" applyNumberFormat="1" applyFont="1" applyBorder="1" applyAlignment="1">
      <alignment/>
    </xf>
    <xf numFmtId="169" fontId="0" fillId="0" borderId="77" xfId="46" applyNumberFormat="1" applyFont="1" applyBorder="1" applyAlignment="1">
      <alignment/>
    </xf>
    <xf numFmtId="169" fontId="1" fillId="0" borderId="78" xfId="46" applyNumberFormat="1" applyFont="1" applyBorder="1" applyAlignment="1">
      <alignment horizontal="right"/>
    </xf>
    <xf numFmtId="169" fontId="0" fillId="0" borderId="79" xfId="46" applyNumberFormat="1" applyFont="1" applyBorder="1" applyAlignment="1">
      <alignment/>
    </xf>
    <xf numFmtId="169" fontId="0" fillId="0" borderId="80" xfId="46" applyNumberFormat="1" applyFont="1" applyBorder="1" applyAlignment="1">
      <alignment/>
    </xf>
    <xf numFmtId="169" fontId="0" fillId="0" borderId="66" xfId="46" applyNumberFormat="1" applyFont="1" applyBorder="1" applyAlignment="1">
      <alignment/>
    </xf>
    <xf numFmtId="169" fontId="1" fillId="0" borderId="81" xfId="46" applyNumberFormat="1" applyFont="1" applyBorder="1" applyAlignment="1">
      <alignment horizontal="right"/>
    </xf>
    <xf numFmtId="169" fontId="0" fillId="0" borderId="81" xfId="46" applyNumberFormat="1" applyFont="1" applyBorder="1" applyAlignment="1">
      <alignment/>
    </xf>
    <xf numFmtId="169" fontId="0" fillId="0" borderId="0" xfId="46" applyNumberFormat="1" applyFont="1" applyAlignment="1">
      <alignment/>
    </xf>
    <xf numFmtId="169" fontId="0" fillId="0" borderId="0" xfId="46" applyNumberFormat="1" applyFont="1" applyFill="1" applyBorder="1" applyAlignment="1">
      <alignment/>
    </xf>
    <xf numFmtId="169" fontId="0" fillId="0" borderId="0" xfId="46" applyNumberFormat="1" applyFont="1" applyAlignment="1">
      <alignment wrapText="1"/>
    </xf>
    <xf numFmtId="169" fontId="0" fillId="0" borderId="82" xfId="46" applyNumberFormat="1" applyFont="1" applyBorder="1" applyAlignment="1">
      <alignment/>
    </xf>
    <xf numFmtId="169" fontId="0" fillId="0" borderId="83" xfId="46" applyNumberFormat="1" applyFont="1" applyBorder="1" applyAlignment="1">
      <alignment/>
    </xf>
    <xf numFmtId="169" fontId="1" fillId="0" borderId="77" xfId="46" applyNumberFormat="1" applyFont="1" applyBorder="1" applyAlignment="1">
      <alignment horizontal="center"/>
    </xf>
    <xf numFmtId="169" fontId="1" fillId="0" borderId="84" xfId="46" applyNumberFormat="1" applyFont="1" applyBorder="1" applyAlignment="1">
      <alignment horizontal="center"/>
    </xf>
    <xf numFmtId="169" fontId="0" fillId="0" borderId="18" xfId="46" applyNumberFormat="1" applyFont="1" applyBorder="1" applyAlignment="1">
      <alignment horizontal="center"/>
    </xf>
    <xf numFmtId="169" fontId="0" fillId="0" borderId="70" xfId="46" applyNumberFormat="1" applyFont="1" applyBorder="1" applyAlignment="1">
      <alignment horizontal="center"/>
    </xf>
    <xf numFmtId="169" fontId="0" fillId="0" borderId="0" xfId="46" applyNumberFormat="1" applyFont="1" applyBorder="1" applyAlignment="1">
      <alignment/>
    </xf>
    <xf numFmtId="169" fontId="0" fillId="0" borderId="85" xfId="46" applyNumberFormat="1" applyFont="1" applyBorder="1" applyAlignment="1">
      <alignment horizontal="center"/>
    </xf>
    <xf numFmtId="169" fontId="0" fillId="0" borderId="0" xfId="46" applyNumberFormat="1" applyFont="1" applyBorder="1" applyAlignment="1">
      <alignment horizontal="center"/>
    </xf>
    <xf numFmtId="169" fontId="0" fillId="0" borderId="86" xfId="46" applyNumberFormat="1" applyFont="1" applyBorder="1" applyAlignment="1">
      <alignment horizontal="center"/>
    </xf>
    <xf numFmtId="169" fontId="0" fillId="0" borderId="64" xfId="46" applyNumberFormat="1" applyFont="1" applyBorder="1" applyAlignment="1">
      <alignment horizontal="center"/>
    </xf>
    <xf numFmtId="169" fontId="0" fillId="0" borderId="71" xfId="46" applyNumberFormat="1" applyFont="1" applyBorder="1" applyAlignment="1">
      <alignment horizontal="center"/>
    </xf>
    <xf numFmtId="169" fontId="0" fillId="0" borderId="65" xfId="46" applyNumberFormat="1" applyFont="1" applyBorder="1" applyAlignment="1">
      <alignment horizontal="center"/>
    </xf>
    <xf numFmtId="169" fontId="0" fillId="0" borderId="87" xfId="46" applyNumberFormat="1" applyFont="1" applyBorder="1" applyAlignment="1">
      <alignment horizontal="center"/>
    </xf>
    <xf numFmtId="169" fontId="0" fillId="0" borderId="88" xfId="46" applyNumberFormat="1" applyFont="1" applyBorder="1" applyAlignment="1">
      <alignment/>
    </xf>
    <xf numFmtId="169" fontId="0" fillId="0" borderId="86" xfId="46" applyNumberFormat="1" applyFont="1" applyBorder="1" applyAlignment="1">
      <alignment/>
    </xf>
    <xf numFmtId="169" fontId="0" fillId="0" borderId="89" xfId="46" applyNumberFormat="1" applyFont="1" applyBorder="1" applyAlignment="1">
      <alignment/>
    </xf>
    <xf numFmtId="169" fontId="1" fillId="0" borderId="78" xfId="46" applyNumberFormat="1" applyFont="1" applyBorder="1" applyAlignment="1">
      <alignment horizontal="center"/>
    </xf>
    <xf numFmtId="169" fontId="0" fillId="0" borderId="90" xfId="46" applyNumberFormat="1" applyFont="1" applyBorder="1" applyAlignment="1">
      <alignment/>
    </xf>
    <xf numFmtId="169" fontId="1" fillId="0" borderId="91" xfId="46" applyNumberFormat="1" applyFont="1" applyBorder="1" applyAlignment="1">
      <alignment horizontal="right"/>
    </xf>
    <xf numFmtId="169" fontId="0" fillId="0" borderId="92" xfId="46" applyNumberFormat="1" applyFont="1" applyBorder="1" applyAlignment="1">
      <alignment/>
    </xf>
    <xf numFmtId="169" fontId="0" fillId="0" borderId="93" xfId="46" applyNumberFormat="1" applyFont="1" applyBorder="1" applyAlignment="1">
      <alignment/>
    </xf>
    <xf numFmtId="169" fontId="0" fillId="0" borderId="25" xfId="46" applyNumberFormat="1" applyFont="1" applyBorder="1" applyAlignment="1">
      <alignment/>
    </xf>
    <xf numFmtId="169" fontId="0" fillId="0" borderId="6" xfId="46" applyNumberFormat="1" applyFont="1" applyBorder="1" applyAlignment="1">
      <alignment/>
    </xf>
    <xf numFmtId="169" fontId="0" fillId="0" borderId="26" xfId="46" applyNumberFormat="1" applyFont="1" applyBorder="1" applyAlignment="1">
      <alignment/>
    </xf>
    <xf numFmtId="169" fontId="0" fillId="0" borderId="84" xfId="46" applyNumberFormat="1" applyFont="1" applyBorder="1" applyAlignment="1">
      <alignment/>
    </xf>
    <xf numFmtId="169" fontId="0" fillId="0" borderId="85" xfId="46" applyNumberFormat="1" applyFont="1" applyBorder="1" applyAlignment="1">
      <alignment/>
    </xf>
    <xf numFmtId="169" fontId="1" fillId="0" borderId="94" xfId="46" applyNumberFormat="1" applyFont="1" applyBorder="1" applyAlignment="1">
      <alignment horizontal="right"/>
    </xf>
    <xf numFmtId="169" fontId="0" fillId="0" borderId="5" xfId="46" applyNumberFormat="1" applyFont="1" applyBorder="1" applyAlignment="1">
      <alignment/>
    </xf>
    <xf numFmtId="169" fontId="0" fillId="0" borderId="27" xfId="46" applyNumberFormat="1" applyFont="1" applyBorder="1" applyAlignment="1">
      <alignment/>
    </xf>
    <xf numFmtId="169" fontId="3" fillId="0" borderId="0" xfId="46" applyNumberFormat="1" applyFont="1" applyAlignment="1">
      <alignment horizontal="center"/>
    </xf>
    <xf numFmtId="169" fontId="0" fillId="0" borderId="13" xfId="46" applyNumberFormat="1" applyFont="1" applyBorder="1" applyAlignment="1">
      <alignment/>
    </xf>
    <xf numFmtId="169" fontId="1" fillId="0" borderId="14" xfId="46" applyNumberFormat="1" applyFont="1" applyBorder="1" applyAlignment="1">
      <alignment/>
    </xf>
    <xf numFmtId="169" fontId="0" fillId="0" borderId="14" xfId="46" applyNumberFormat="1" applyFont="1" applyBorder="1" applyAlignment="1">
      <alignment/>
    </xf>
    <xf numFmtId="169" fontId="0" fillId="0" borderId="15" xfId="46" applyNumberFormat="1" applyFont="1" applyBorder="1" applyAlignment="1">
      <alignment/>
    </xf>
    <xf numFmtId="169" fontId="0" fillId="0" borderId="9" xfId="46" applyNumberFormat="1" applyFont="1" applyBorder="1" applyAlignment="1">
      <alignment/>
    </xf>
    <xf numFmtId="169" fontId="1" fillId="0" borderId="0" xfId="46" applyNumberFormat="1" applyFont="1" applyBorder="1" applyAlignment="1">
      <alignment/>
    </xf>
    <xf numFmtId="169" fontId="36" fillId="0" borderId="0" xfId="46" applyNumberFormat="1" applyFont="1" applyBorder="1" applyAlignment="1">
      <alignment/>
    </xf>
    <xf numFmtId="169" fontId="36" fillId="0" borderId="9" xfId="46" applyNumberFormat="1" applyFont="1" applyBorder="1" applyAlignment="1">
      <alignment/>
    </xf>
    <xf numFmtId="169" fontId="36" fillId="0" borderId="63" xfId="46" applyNumberFormat="1" applyFont="1" applyBorder="1" applyAlignment="1">
      <alignment/>
    </xf>
    <xf numFmtId="169" fontId="36" fillId="0" borderId="13" xfId="46" applyNumberFormat="1" applyFont="1" applyBorder="1" applyAlignment="1">
      <alignment/>
    </xf>
    <xf numFmtId="169" fontId="36" fillId="0" borderId="27" xfId="46" applyNumberFormat="1" applyFont="1" applyBorder="1" applyAlignment="1">
      <alignment/>
    </xf>
    <xf numFmtId="169" fontId="36" fillId="0" borderId="6" xfId="46" applyNumberFormat="1" applyFont="1" applyBorder="1" applyAlignment="1">
      <alignment horizontal="right"/>
    </xf>
    <xf numFmtId="169" fontId="0" fillId="0" borderId="0" xfId="0" applyNumberFormat="1" applyAlignment="1">
      <alignment/>
    </xf>
    <xf numFmtId="169" fontId="0" fillId="0" borderId="63" xfId="0" applyNumberFormat="1" applyBorder="1" applyAlignment="1">
      <alignment/>
    </xf>
    <xf numFmtId="169" fontId="0" fillId="0" borderId="63" xfId="46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7" xfId="46" applyNumberFormat="1" applyFont="1" applyBorder="1" applyAlignment="1">
      <alignment/>
    </xf>
    <xf numFmtId="169" fontId="1" fillId="0" borderId="33" xfId="46" applyNumberFormat="1" applyFont="1" applyBorder="1" applyAlignment="1">
      <alignment/>
    </xf>
    <xf numFmtId="169" fontId="9" fillId="0" borderId="0" xfId="0" applyNumberFormat="1" applyFont="1" applyAlignment="1">
      <alignment/>
    </xf>
    <xf numFmtId="169" fontId="0" fillId="0" borderId="9" xfId="0" applyNumberFormat="1" applyBorder="1" applyAlignment="1">
      <alignment/>
    </xf>
    <xf numFmtId="169" fontId="2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9" fontId="0" fillId="0" borderId="0" xfId="71" applyFont="1" applyAlignment="1">
      <alignment/>
    </xf>
    <xf numFmtId="44" fontId="0" fillId="0" borderId="18" xfId="46" applyFont="1" applyBorder="1" applyAlignment="1">
      <alignment/>
    </xf>
    <xf numFmtId="44" fontId="0" fillId="0" borderId="19" xfId="46" applyFont="1" applyBorder="1" applyAlignment="1">
      <alignment/>
    </xf>
    <xf numFmtId="0" fontId="16" fillId="0" borderId="51" xfId="0" applyFont="1" applyBorder="1" applyAlignment="1">
      <alignment/>
    </xf>
    <xf numFmtId="169" fontId="0" fillId="0" borderId="19" xfId="46" applyNumberFormat="1" applyFont="1" applyBorder="1" applyAlignment="1">
      <alignment horizontal="center"/>
    </xf>
    <xf numFmtId="6" fontId="0" fillId="0" borderId="71" xfId="46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39" borderId="59" xfId="0" applyFont="1" applyFill="1" applyBorder="1" applyAlignment="1">
      <alignment horizontal="center"/>
    </xf>
    <xf numFmtId="0" fontId="31" fillId="39" borderId="95" xfId="0" applyFont="1" applyFill="1" applyBorder="1" applyAlignment="1">
      <alignment horizontal="center"/>
    </xf>
    <xf numFmtId="0" fontId="31" fillId="39" borderId="60" xfId="0" applyFont="1" applyFill="1" applyBorder="1" applyAlignment="1">
      <alignment horizontal="center"/>
    </xf>
    <xf numFmtId="6" fontId="32" fillId="0" borderId="12" xfId="46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right"/>
    </xf>
    <xf numFmtId="0" fontId="34" fillId="0" borderId="96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5" fillId="0" borderId="96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169" fontId="5" fillId="0" borderId="19" xfId="46" applyNumberFormat="1" applyFont="1" applyBorder="1" applyAlignment="1">
      <alignment horizontal="right"/>
    </xf>
    <xf numFmtId="169" fontId="5" fillId="0" borderId="71" xfId="46" applyNumberFormat="1" applyFont="1" applyBorder="1" applyAlignment="1">
      <alignment horizontal="right"/>
    </xf>
    <xf numFmtId="169" fontId="5" fillId="0" borderId="98" xfId="46" applyNumberFormat="1" applyFont="1" applyBorder="1" applyAlignment="1">
      <alignment horizontal="center"/>
    </xf>
    <xf numFmtId="169" fontId="5" fillId="0" borderId="99" xfId="46" applyNumberFormat="1" applyFont="1" applyBorder="1" applyAlignment="1">
      <alignment horizontal="center"/>
    </xf>
    <xf numFmtId="169" fontId="5" fillId="0" borderId="100" xfId="46" applyNumberFormat="1" applyFont="1" applyBorder="1" applyAlignment="1">
      <alignment horizontal="center"/>
    </xf>
    <xf numFmtId="169" fontId="0" fillId="0" borderId="1" xfId="46" applyNumberFormat="1" applyFont="1" applyBorder="1" applyAlignment="1">
      <alignment horizontal="left"/>
    </xf>
    <xf numFmtId="169" fontId="0" fillId="0" borderId="9" xfId="46" applyNumberFormat="1" applyFont="1" applyBorder="1" applyAlignment="1">
      <alignment horizontal="left"/>
    </xf>
    <xf numFmtId="169" fontId="0" fillId="0" borderId="101" xfId="46" applyNumberFormat="1" applyFont="1" applyBorder="1" applyAlignment="1">
      <alignment horizontal="left"/>
    </xf>
    <xf numFmtId="0" fontId="0" fillId="0" borderId="102" xfId="46" applyNumberFormat="1" applyFont="1" applyBorder="1" applyAlignment="1">
      <alignment horizontal="left"/>
    </xf>
    <xf numFmtId="0" fontId="0" fillId="0" borderId="63" xfId="46" applyNumberFormat="1" applyFont="1" applyBorder="1" applyAlignment="1">
      <alignment horizontal="left"/>
    </xf>
    <xf numFmtId="0" fontId="0" fillId="0" borderId="103" xfId="46" applyNumberFormat="1" applyFont="1" applyBorder="1" applyAlignment="1">
      <alignment horizontal="left"/>
    </xf>
    <xf numFmtId="169" fontId="5" fillId="0" borderId="35" xfId="46" applyNumberFormat="1" applyFont="1" applyBorder="1" applyAlignment="1">
      <alignment horizontal="right"/>
    </xf>
    <xf numFmtId="169" fontId="0" fillId="0" borderId="104" xfId="46" applyNumberFormat="1" applyFont="1" applyBorder="1" applyAlignment="1">
      <alignment horizontal="left"/>
    </xf>
    <xf numFmtId="169" fontId="0" fillId="0" borderId="22" xfId="46" applyNumberFormat="1" applyFont="1" applyBorder="1" applyAlignment="1">
      <alignment horizontal="left"/>
    </xf>
    <xf numFmtId="169" fontId="0" fillId="0" borderId="105" xfId="46" applyNumberFormat="1" applyFont="1" applyBorder="1" applyAlignment="1">
      <alignment horizontal="left"/>
    </xf>
    <xf numFmtId="169" fontId="5" fillId="0" borderId="106" xfId="46" applyNumberFormat="1" applyFont="1" applyBorder="1" applyAlignment="1">
      <alignment horizontal="right"/>
    </xf>
    <xf numFmtId="169" fontId="5" fillId="0" borderId="9" xfId="46" applyNumberFormat="1" applyFont="1" applyBorder="1" applyAlignment="1">
      <alignment horizontal="right"/>
    </xf>
    <xf numFmtId="169" fontId="5" fillId="0" borderId="107" xfId="4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9" fontId="3" fillId="0" borderId="0" xfId="46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6" fillId="0" borderId="108" xfId="0" applyFont="1" applyBorder="1" applyAlignment="1">
      <alignment horizontal="right"/>
    </xf>
    <xf numFmtId="0" fontId="36" fillId="0" borderId="109" xfId="0" applyFont="1" applyBorder="1" applyAlignment="1">
      <alignment horizontal="right"/>
    </xf>
    <xf numFmtId="0" fontId="32" fillId="0" borderId="9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110" xfId="0" applyFont="1" applyBorder="1" applyAlignment="1">
      <alignment horizontal="center"/>
    </xf>
    <xf numFmtId="0" fontId="36" fillId="0" borderId="98" xfId="0" applyFont="1" applyBorder="1" applyAlignment="1">
      <alignment horizontal="right"/>
    </xf>
    <xf numFmtId="0" fontId="36" fillId="0" borderId="99" xfId="0" applyFont="1" applyBorder="1" applyAlignment="1">
      <alignment horizontal="right"/>
    </xf>
    <xf numFmtId="0" fontId="36" fillId="0" borderId="9" xfId="0" applyFont="1" applyBorder="1" applyAlignment="1">
      <alignment horizontal="right"/>
    </xf>
    <xf numFmtId="0" fontId="36" fillId="0" borderId="63" xfId="0" applyFont="1" applyBorder="1" applyAlignment="1">
      <alignment horizontal="right"/>
    </xf>
    <xf numFmtId="0" fontId="36" fillId="0" borderId="30" xfId="0" applyFont="1" applyBorder="1" applyAlignment="1">
      <alignment horizontal="right"/>
    </xf>
    <xf numFmtId="0" fontId="36" fillId="0" borderId="13" xfId="0" applyFont="1" applyBorder="1" applyAlignment="1">
      <alignment horizontal="right"/>
    </xf>
    <xf numFmtId="0" fontId="36" fillId="0" borderId="29" xfId="0" applyFont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3" fillId="0" borderId="13" xfId="0" applyFont="1" applyFill="1" applyBorder="1" applyAlignment="1" applyProtection="1">
      <alignment horizontal="center"/>
      <protection locked="0"/>
    </xf>
    <xf numFmtId="0" fontId="27" fillId="26" borderId="13" xfId="0" applyFont="1" applyFill="1" applyBorder="1" applyAlignment="1" applyProtection="1">
      <alignment horizontal="center"/>
      <protection locked="0"/>
    </xf>
    <xf numFmtId="0" fontId="0" fillId="26" borderId="0" xfId="0" applyFill="1" applyAlignment="1" applyProtection="1">
      <alignment horizontal="left"/>
      <protection locked="0"/>
    </xf>
    <xf numFmtId="0" fontId="5" fillId="37" borderId="76" xfId="0" applyFont="1" applyFill="1" applyBorder="1" applyAlignment="1">
      <alignment horizontal="center" vertical="center" wrapText="1"/>
    </xf>
    <xf numFmtId="0" fontId="5" fillId="37" borderId="66" xfId="0" applyFont="1" applyFill="1" applyBorder="1" applyAlignment="1">
      <alignment horizontal="center" vertical="center" wrapText="1"/>
    </xf>
    <xf numFmtId="0" fontId="4" fillId="0" borderId="10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05" xfId="0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0" fontId="0" fillId="0" borderId="111" xfId="0" applyBorder="1" applyAlignment="1">
      <alignment/>
    </xf>
    <xf numFmtId="0" fontId="5" fillId="37" borderId="7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2" xfId="0" applyBorder="1" applyAlignment="1">
      <alignment/>
    </xf>
    <xf numFmtId="0" fontId="5" fillId="37" borderId="35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justify"/>
    </xf>
    <xf numFmtId="0" fontId="7" fillId="0" borderId="19" xfId="0" applyFont="1" applyBorder="1" applyAlignment="1">
      <alignment horizontal="center" vertical="justify"/>
    </xf>
    <xf numFmtId="166" fontId="7" fillId="0" borderId="19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6" fontId="7" fillId="0" borderId="35" xfId="0" applyNumberFormat="1" applyFont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98" xfId="0" applyFont="1" applyFill="1" applyBorder="1" applyAlignment="1">
      <alignment horizontal="center" wrapText="1"/>
    </xf>
    <xf numFmtId="0" fontId="5" fillId="32" borderId="113" xfId="0" applyFont="1" applyFill="1" applyBorder="1" applyAlignment="1">
      <alignment horizontal="center" wrapText="1"/>
    </xf>
    <xf numFmtId="166" fontId="7" fillId="0" borderId="19" xfId="0" applyNumberFormat="1" applyFont="1" applyBorder="1" applyAlignment="1">
      <alignment horizontal="center" vertical="justify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0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" xfId="54"/>
    <cellStyle name="Header Total" xfId="55"/>
    <cellStyle name="Header1" xfId="56"/>
    <cellStyle name="Header2" xfId="57"/>
    <cellStyle name="Header3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_SPREAD-Foster Funeral - 11080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24.emf" /><Relationship Id="rId3" Type="http://schemas.openxmlformats.org/officeDocument/2006/relationships/image" Target="../media/image48.emf" /><Relationship Id="rId4" Type="http://schemas.openxmlformats.org/officeDocument/2006/relationships/image" Target="../media/image15.emf" /><Relationship Id="rId5" Type="http://schemas.openxmlformats.org/officeDocument/2006/relationships/image" Target="../media/image31.emf" /><Relationship Id="rId6" Type="http://schemas.openxmlformats.org/officeDocument/2006/relationships/image" Target="../media/image22.emf" /><Relationship Id="rId7" Type="http://schemas.openxmlformats.org/officeDocument/2006/relationships/image" Target="../media/image11.emf" /><Relationship Id="rId8" Type="http://schemas.openxmlformats.org/officeDocument/2006/relationships/image" Target="../media/image39.emf" /><Relationship Id="rId9" Type="http://schemas.openxmlformats.org/officeDocument/2006/relationships/image" Target="../media/image16.emf" /><Relationship Id="rId10" Type="http://schemas.openxmlformats.org/officeDocument/2006/relationships/image" Target="../media/image21.emf" /><Relationship Id="rId11" Type="http://schemas.openxmlformats.org/officeDocument/2006/relationships/image" Target="../media/image26.emf" /><Relationship Id="rId12" Type="http://schemas.openxmlformats.org/officeDocument/2006/relationships/image" Target="../media/image28.emf" /><Relationship Id="rId13" Type="http://schemas.openxmlformats.org/officeDocument/2006/relationships/image" Target="../media/image5.emf" /><Relationship Id="rId14" Type="http://schemas.openxmlformats.org/officeDocument/2006/relationships/image" Target="../media/image12.emf" /><Relationship Id="rId15" Type="http://schemas.openxmlformats.org/officeDocument/2006/relationships/image" Target="../media/image7.emf" /><Relationship Id="rId16" Type="http://schemas.openxmlformats.org/officeDocument/2006/relationships/image" Target="../media/image14.emf" /><Relationship Id="rId17" Type="http://schemas.openxmlformats.org/officeDocument/2006/relationships/image" Target="../media/image37.emf" /><Relationship Id="rId18" Type="http://schemas.openxmlformats.org/officeDocument/2006/relationships/image" Target="../media/image18.emf" /><Relationship Id="rId19" Type="http://schemas.openxmlformats.org/officeDocument/2006/relationships/image" Target="../media/image44.emf" /><Relationship Id="rId20" Type="http://schemas.openxmlformats.org/officeDocument/2006/relationships/image" Target="../media/image4.emf" /><Relationship Id="rId21" Type="http://schemas.openxmlformats.org/officeDocument/2006/relationships/image" Target="../media/image42.emf" /><Relationship Id="rId22" Type="http://schemas.openxmlformats.org/officeDocument/2006/relationships/image" Target="../media/image1.emf" /><Relationship Id="rId23" Type="http://schemas.openxmlformats.org/officeDocument/2006/relationships/image" Target="../media/image38.emf" /><Relationship Id="rId24" Type="http://schemas.openxmlformats.org/officeDocument/2006/relationships/image" Target="../media/image13.emf" /><Relationship Id="rId25" Type="http://schemas.openxmlformats.org/officeDocument/2006/relationships/image" Target="../media/image36.emf" /><Relationship Id="rId26" Type="http://schemas.openxmlformats.org/officeDocument/2006/relationships/image" Target="../media/image6.emf" /><Relationship Id="rId27" Type="http://schemas.openxmlformats.org/officeDocument/2006/relationships/image" Target="../media/image50.emf" /><Relationship Id="rId28" Type="http://schemas.openxmlformats.org/officeDocument/2006/relationships/image" Target="../media/image4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6</xdr:row>
      <xdr:rowOff>85725</xdr:rowOff>
    </xdr:from>
    <xdr:to>
      <xdr:col>3</xdr:col>
      <xdr:colOff>742950</xdr:colOff>
      <xdr:row>6</xdr:row>
      <xdr:rowOff>333375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838325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6</xdr:row>
      <xdr:rowOff>342900</xdr:rowOff>
    </xdr:from>
    <xdr:to>
      <xdr:col>3</xdr:col>
      <xdr:colOff>904875</xdr:colOff>
      <xdr:row>6</xdr:row>
      <xdr:rowOff>590550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2095500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7</xdr:row>
      <xdr:rowOff>76200</xdr:rowOff>
    </xdr:from>
    <xdr:to>
      <xdr:col>3</xdr:col>
      <xdr:colOff>752475</xdr:colOff>
      <xdr:row>7</xdr:row>
      <xdr:rowOff>323850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247650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342900</xdr:rowOff>
    </xdr:from>
    <xdr:to>
      <xdr:col>3</xdr:col>
      <xdr:colOff>914400</xdr:colOff>
      <xdr:row>7</xdr:row>
      <xdr:rowOff>590550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2743200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8</xdr:row>
      <xdr:rowOff>76200</xdr:rowOff>
    </xdr:from>
    <xdr:to>
      <xdr:col>3</xdr:col>
      <xdr:colOff>742950</xdr:colOff>
      <xdr:row>8</xdr:row>
      <xdr:rowOff>323850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81475" y="312420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8</xdr:row>
      <xdr:rowOff>333375</xdr:rowOff>
    </xdr:from>
    <xdr:to>
      <xdr:col>3</xdr:col>
      <xdr:colOff>904875</xdr:colOff>
      <xdr:row>8</xdr:row>
      <xdr:rowOff>581025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71950" y="33813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</xdr:row>
      <xdr:rowOff>76200</xdr:rowOff>
    </xdr:from>
    <xdr:to>
      <xdr:col>3</xdr:col>
      <xdr:colOff>762000</xdr:colOff>
      <xdr:row>9</xdr:row>
      <xdr:rowOff>323850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00525" y="377190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</xdr:row>
      <xdr:rowOff>333375</xdr:rowOff>
    </xdr:from>
    <xdr:to>
      <xdr:col>3</xdr:col>
      <xdr:colOff>933450</xdr:colOff>
      <xdr:row>9</xdr:row>
      <xdr:rowOff>581025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00525" y="40290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</xdr:row>
      <xdr:rowOff>85725</xdr:rowOff>
    </xdr:from>
    <xdr:to>
      <xdr:col>3</xdr:col>
      <xdr:colOff>762000</xdr:colOff>
      <xdr:row>10</xdr:row>
      <xdr:rowOff>333375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00525" y="4429125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10</xdr:row>
      <xdr:rowOff>333375</xdr:rowOff>
    </xdr:from>
    <xdr:to>
      <xdr:col>3</xdr:col>
      <xdr:colOff>942975</xdr:colOff>
      <xdr:row>10</xdr:row>
      <xdr:rowOff>581025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10050" y="46767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11</xdr:row>
      <xdr:rowOff>57150</xdr:rowOff>
    </xdr:from>
    <xdr:to>
      <xdr:col>3</xdr:col>
      <xdr:colOff>790575</xdr:colOff>
      <xdr:row>11</xdr:row>
      <xdr:rowOff>304800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29100" y="504825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11</xdr:row>
      <xdr:rowOff>314325</xdr:rowOff>
    </xdr:from>
    <xdr:to>
      <xdr:col>3</xdr:col>
      <xdr:colOff>933450</xdr:colOff>
      <xdr:row>11</xdr:row>
      <xdr:rowOff>561975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00525" y="530542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12</xdr:row>
      <xdr:rowOff>57150</xdr:rowOff>
    </xdr:from>
    <xdr:to>
      <xdr:col>3</xdr:col>
      <xdr:colOff>771525</xdr:colOff>
      <xdr:row>12</xdr:row>
      <xdr:rowOff>304800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10050" y="569595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12</xdr:row>
      <xdr:rowOff>333375</xdr:rowOff>
    </xdr:from>
    <xdr:to>
      <xdr:col>3</xdr:col>
      <xdr:colOff>942975</xdr:colOff>
      <xdr:row>12</xdr:row>
      <xdr:rowOff>581025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10050" y="59721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13</xdr:row>
      <xdr:rowOff>57150</xdr:rowOff>
    </xdr:from>
    <xdr:to>
      <xdr:col>3</xdr:col>
      <xdr:colOff>762000</xdr:colOff>
      <xdr:row>13</xdr:row>
      <xdr:rowOff>304800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00525" y="634365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</xdr:row>
      <xdr:rowOff>333375</xdr:rowOff>
    </xdr:from>
    <xdr:to>
      <xdr:col>3</xdr:col>
      <xdr:colOff>923925</xdr:colOff>
      <xdr:row>13</xdr:row>
      <xdr:rowOff>581025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91000" y="66198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14</xdr:row>
      <xdr:rowOff>66675</xdr:rowOff>
    </xdr:from>
    <xdr:to>
      <xdr:col>3</xdr:col>
      <xdr:colOff>742950</xdr:colOff>
      <xdr:row>14</xdr:row>
      <xdr:rowOff>314325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81475" y="7000875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14</xdr:row>
      <xdr:rowOff>342900</xdr:rowOff>
    </xdr:from>
    <xdr:to>
      <xdr:col>3</xdr:col>
      <xdr:colOff>895350</xdr:colOff>
      <xdr:row>14</xdr:row>
      <xdr:rowOff>590550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62425" y="7277100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15</xdr:row>
      <xdr:rowOff>76200</xdr:rowOff>
    </xdr:from>
    <xdr:to>
      <xdr:col>3</xdr:col>
      <xdr:colOff>733425</xdr:colOff>
      <xdr:row>15</xdr:row>
      <xdr:rowOff>323850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71950" y="765810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15</xdr:row>
      <xdr:rowOff>333375</xdr:rowOff>
    </xdr:from>
    <xdr:to>
      <xdr:col>3</xdr:col>
      <xdr:colOff>904875</xdr:colOff>
      <xdr:row>15</xdr:row>
      <xdr:rowOff>581025</xdr:rowOff>
    </xdr:to>
    <xdr:pic>
      <xdr:nvPicPr>
        <xdr:cNvPr id="20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71950" y="79152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76200</xdr:rowOff>
    </xdr:from>
    <xdr:to>
      <xdr:col>3</xdr:col>
      <xdr:colOff>762000</xdr:colOff>
      <xdr:row>16</xdr:row>
      <xdr:rowOff>323850</xdr:rowOff>
    </xdr:to>
    <xdr:pic>
      <xdr:nvPicPr>
        <xdr:cNvPr id="21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00525" y="830580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17</xdr:row>
      <xdr:rowOff>85725</xdr:rowOff>
    </xdr:from>
    <xdr:to>
      <xdr:col>3</xdr:col>
      <xdr:colOff>809625</xdr:colOff>
      <xdr:row>17</xdr:row>
      <xdr:rowOff>333375</xdr:rowOff>
    </xdr:to>
    <xdr:pic>
      <xdr:nvPicPr>
        <xdr:cNvPr id="22" name="OptionButton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48150" y="8963025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17</xdr:row>
      <xdr:rowOff>333375</xdr:rowOff>
    </xdr:from>
    <xdr:to>
      <xdr:col>3</xdr:col>
      <xdr:colOff>962025</xdr:colOff>
      <xdr:row>17</xdr:row>
      <xdr:rowOff>581025</xdr:rowOff>
    </xdr:to>
    <xdr:pic>
      <xdr:nvPicPr>
        <xdr:cNvPr id="23" name="OptionButton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29100" y="92106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18</xdr:row>
      <xdr:rowOff>57150</xdr:rowOff>
    </xdr:from>
    <xdr:to>
      <xdr:col>3</xdr:col>
      <xdr:colOff>714375</xdr:colOff>
      <xdr:row>18</xdr:row>
      <xdr:rowOff>304800</xdr:rowOff>
    </xdr:to>
    <xdr:pic>
      <xdr:nvPicPr>
        <xdr:cNvPr id="24" name="OptionButton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52900" y="958215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18</xdr:row>
      <xdr:rowOff>304800</xdr:rowOff>
    </xdr:from>
    <xdr:to>
      <xdr:col>3</xdr:col>
      <xdr:colOff>885825</xdr:colOff>
      <xdr:row>18</xdr:row>
      <xdr:rowOff>552450</xdr:rowOff>
    </xdr:to>
    <xdr:pic>
      <xdr:nvPicPr>
        <xdr:cNvPr id="25" name="OptionButton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52900" y="9829800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19</xdr:row>
      <xdr:rowOff>76200</xdr:rowOff>
    </xdr:from>
    <xdr:to>
      <xdr:col>3</xdr:col>
      <xdr:colOff>762000</xdr:colOff>
      <xdr:row>19</xdr:row>
      <xdr:rowOff>323850</xdr:rowOff>
    </xdr:to>
    <xdr:pic>
      <xdr:nvPicPr>
        <xdr:cNvPr id="26" name="OptionButton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00525" y="1024890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19</xdr:row>
      <xdr:rowOff>333375</xdr:rowOff>
    </xdr:from>
    <xdr:to>
      <xdr:col>3</xdr:col>
      <xdr:colOff>942975</xdr:colOff>
      <xdr:row>19</xdr:row>
      <xdr:rowOff>581025</xdr:rowOff>
    </xdr:to>
    <xdr:pic>
      <xdr:nvPicPr>
        <xdr:cNvPr id="27" name="OptionButton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10050" y="1050607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304800</xdr:rowOff>
    </xdr:from>
    <xdr:to>
      <xdr:col>3</xdr:col>
      <xdr:colOff>933450</xdr:colOff>
      <xdr:row>16</xdr:row>
      <xdr:rowOff>552450</xdr:rowOff>
    </xdr:to>
    <xdr:pic>
      <xdr:nvPicPr>
        <xdr:cNvPr id="28" name="OptionButton2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00525" y="8534400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cserver\Shared%20Chamber%20Folders\SBDC\SPREAD-Dance%20Art%20Center%20-Projections%20-%20091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SPREAD"/>
      <sheetName val="Assumptions"/>
      <sheetName val="Income Statement - Detail"/>
      <sheetName val="Ratios"/>
      <sheetName val="Indicator Checklist"/>
      <sheetName val="Gap Analysis"/>
    </sheetNames>
    <sheetDataSet>
      <sheetData sheetId="0">
        <row r="1">
          <cell r="A1" t="str">
            <v>Loan Amortization Schedule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50000</v>
          </cell>
          <cell r="G6" t="str">
            <v>Scheduled Payment</v>
          </cell>
          <cell r="H6">
            <v>830.059201344298</v>
          </cell>
          <cell r="I6" t="str">
            <v>1st Year Total</v>
          </cell>
          <cell r="J6">
            <v>9960.710416131578</v>
          </cell>
        </row>
        <row r="7">
          <cell r="C7" t="str">
            <v>Annual Interest Rate</v>
          </cell>
          <cell r="D7">
            <v>0.1</v>
          </cell>
          <cell r="G7" t="str">
            <v>Scheduled Number of Payments</v>
          </cell>
          <cell r="H7">
            <v>84</v>
          </cell>
          <cell r="I7" t="str">
            <v>1st Year Pr</v>
          </cell>
          <cell r="J7">
            <v>5194.512043611315</v>
          </cell>
        </row>
        <row r="8">
          <cell r="C8" t="str">
            <v>Loan Period in Years</v>
          </cell>
          <cell r="D8">
            <v>7</v>
          </cell>
          <cell r="G8" t="str">
            <v>Actual Number of Payments</v>
          </cell>
          <cell r="H8">
            <v>84</v>
          </cell>
          <cell r="I8" t="str">
            <v>1st Year Int</v>
          </cell>
          <cell r="J8">
            <v>4766.198372520263</v>
          </cell>
        </row>
        <row r="9">
          <cell r="C9" t="str">
            <v>Number of Payments Per Year</v>
          </cell>
          <cell r="D9">
            <v>12</v>
          </cell>
          <cell r="G9" t="str">
            <v>Total Early Payments</v>
          </cell>
          <cell r="H9">
            <v>0</v>
          </cell>
          <cell r="I9" t="str">
            <v>2nd Year Total</v>
          </cell>
          <cell r="J9">
            <v>9960.710416131578</v>
          </cell>
        </row>
        <row r="10">
          <cell r="C10" t="str">
            <v>Start Date of Loan</v>
          </cell>
          <cell r="D10">
            <v>39083</v>
          </cell>
          <cell r="G10" t="str">
            <v>Total Interest</v>
          </cell>
          <cell r="H10">
            <v>19724.9729129207</v>
          </cell>
          <cell r="I10" t="str">
            <v>2nd Year Pr</v>
          </cell>
          <cell r="J10">
            <v>5738.445333558619</v>
          </cell>
        </row>
        <row r="11">
          <cell r="C11" t="str">
            <v>Optional Extra Payments</v>
          </cell>
          <cell r="D11">
            <v>0</v>
          </cell>
          <cell r="I11" t="str">
            <v>2nd Year Int</v>
          </cell>
          <cell r="J11">
            <v>4222.265082572958</v>
          </cell>
        </row>
        <row r="13">
          <cell r="B13" t="str">
            <v>Lender Name:</v>
          </cell>
          <cell r="C13" t="str">
            <v>Wells Fargo</v>
          </cell>
          <cell r="F13" t="str">
            <v>Borrower Name:</v>
          </cell>
          <cell r="G13" t="str">
            <v>Marisa Roth</v>
          </cell>
        </row>
        <row r="17">
          <cell r="A17" t="str">
            <v>PmtNo.</v>
          </cell>
          <cell r="B17" t="str">
            <v>Payment Date</v>
          </cell>
          <cell r="C17" t="str">
            <v>Beginning Balance</v>
          </cell>
          <cell r="D17" t="str">
            <v>Scheduled Payment</v>
          </cell>
          <cell r="E17" t="str">
            <v>Extra Payment</v>
          </cell>
          <cell r="F17" t="str">
            <v>Total Payment</v>
          </cell>
          <cell r="G17" t="str">
            <v>Principal</v>
          </cell>
          <cell r="H17" t="str">
            <v>Interest</v>
          </cell>
          <cell r="I17" t="str">
            <v>Ending Balance</v>
          </cell>
          <cell r="J17" t="str">
            <v>Cumulative Interest</v>
          </cell>
        </row>
        <row r="19">
          <cell r="A19">
            <v>1</v>
          </cell>
          <cell r="B19">
            <v>39114</v>
          </cell>
          <cell r="C19">
            <v>50000</v>
          </cell>
          <cell r="D19">
            <v>830.059201344298</v>
          </cell>
          <cell r="E19">
            <v>0</v>
          </cell>
          <cell r="F19">
            <v>830.059201344298</v>
          </cell>
          <cell r="G19">
            <v>413.3925346776313</v>
          </cell>
          <cell r="H19">
            <v>416.6666666666667</v>
          </cell>
          <cell r="I19">
            <v>49586.60746532237</v>
          </cell>
          <cell r="J19">
            <v>416.6666666666667</v>
          </cell>
        </row>
        <row r="20">
          <cell r="A20">
            <v>2</v>
          </cell>
          <cell r="B20">
            <v>39142</v>
          </cell>
          <cell r="C20">
            <v>49586.60746532237</v>
          </cell>
          <cell r="D20">
            <v>830.059201344298</v>
          </cell>
          <cell r="E20">
            <v>0</v>
          </cell>
          <cell r="F20">
            <v>830.059201344298</v>
          </cell>
          <cell r="G20">
            <v>416.83747246661153</v>
          </cell>
          <cell r="H20">
            <v>413.2217288776865</v>
          </cell>
          <cell r="I20">
            <v>49169.769992855756</v>
          </cell>
          <cell r="J20">
            <v>829.8883955443532</v>
          </cell>
        </row>
        <row r="21">
          <cell r="A21">
            <v>3</v>
          </cell>
          <cell r="B21">
            <v>39173</v>
          </cell>
          <cell r="C21">
            <v>49169.769992855756</v>
          </cell>
          <cell r="D21">
            <v>830.059201344298</v>
          </cell>
          <cell r="E21">
            <v>0</v>
          </cell>
          <cell r="F21">
            <v>830.059201344298</v>
          </cell>
          <cell r="G21">
            <v>420.31111807049996</v>
          </cell>
          <cell r="H21">
            <v>409.74808327379804</v>
          </cell>
          <cell r="I21">
            <v>48749.458874785254</v>
          </cell>
          <cell r="J21">
            <v>1239.6364788181513</v>
          </cell>
        </row>
        <row r="22">
          <cell r="A22">
            <v>4</v>
          </cell>
          <cell r="B22">
            <v>39203</v>
          </cell>
          <cell r="C22">
            <v>48749.458874785254</v>
          </cell>
          <cell r="D22">
            <v>830.059201344298</v>
          </cell>
          <cell r="E22">
            <v>0</v>
          </cell>
          <cell r="F22">
            <v>830.059201344298</v>
          </cell>
          <cell r="G22">
            <v>423.8137107210875</v>
          </cell>
          <cell r="H22">
            <v>406.2454906232105</v>
          </cell>
          <cell r="I22">
            <v>48325.64516406417</v>
          </cell>
          <cell r="J22">
            <v>1645.881969441362</v>
          </cell>
        </row>
        <row r="23">
          <cell r="A23">
            <v>5</v>
          </cell>
          <cell r="B23">
            <v>39234</v>
          </cell>
          <cell r="C23">
            <v>48325.64516406417</v>
          </cell>
          <cell r="D23">
            <v>830.059201344298</v>
          </cell>
          <cell r="E23">
            <v>0</v>
          </cell>
          <cell r="F23">
            <v>830.059201344298</v>
          </cell>
          <cell r="G23">
            <v>427.34549164376324</v>
          </cell>
          <cell r="H23">
            <v>402.71370970053476</v>
          </cell>
          <cell r="I23">
            <v>47898.299672420406</v>
          </cell>
          <cell r="J23">
            <v>2048.5956791418967</v>
          </cell>
        </row>
        <row r="24">
          <cell r="A24">
            <v>6</v>
          </cell>
          <cell r="B24">
            <v>39264</v>
          </cell>
          <cell r="C24">
            <v>47898.299672420406</v>
          </cell>
          <cell r="D24">
            <v>830.059201344298</v>
          </cell>
          <cell r="E24">
            <v>0</v>
          </cell>
          <cell r="F24">
            <v>830.059201344298</v>
          </cell>
          <cell r="G24">
            <v>430.90670407412796</v>
          </cell>
          <cell r="H24">
            <v>399.15249727017004</v>
          </cell>
          <cell r="I24">
            <v>47467.39296834628</v>
          </cell>
          <cell r="J24">
            <v>2447.7481764120666</v>
          </cell>
        </row>
        <row r="25">
          <cell r="A25">
            <v>7</v>
          </cell>
          <cell r="B25">
            <v>39295</v>
          </cell>
          <cell r="C25">
            <v>47467.39296834628</v>
          </cell>
          <cell r="D25">
            <v>830.059201344298</v>
          </cell>
          <cell r="E25">
            <v>0</v>
          </cell>
          <cell r="F25">
            <v>830.059201344298</v>
          </cell>
          <cell r="G25">
            <v>434.4975932747457</v>
          </cell>
          <cell r="H25">
            <v>395.5616080695523</v>
          </cell>
          <cell r="I25">
            <v>47032.89537507153</v>
          </cell>
          <cell r="J25">
            <v>2843.309784481619</v>
          </cell>
        </row>
        <row r="26">
          <cell r="A26">
            <v>8</v>
          </cell>
          <cell r="B26">
            <v>39326</v>
          </cell>
          <cell r="C26">
            <v>47032.89537507153</v>
          </cell>
          <cell r="D26">
            <v>830.059201344298</v>
          </cell>
          <cell r="E26">
            <v>0</v>
          </cell>
          <cell r="F26">
            <v>830.059201344298</v>
          </cell>
          <cell r="G26">
            <v>438.11840655203525</v>
          </cell>
          <cell r="H26">
            <v>391.94079479226275</v>
          </cell>
          <cell r="I26">
            <v>46594.776968519494</v>
          </cell>
          <cell r="J26">
            <v>3235.2505792738816</v>
          </cell>
        </row>
        <row r="27">
          <cell r="A27">
            <v>9</v>
          </cell>
          <cell r="B27">
            <v>39356</v>
          </cell>
          <cell r="C27">
            <v>46594.776968519494</v>
          </cell>
          <cell r="D27">
            <v>830.059201344298</v>
          </cell>
          <cell r="E27">
            <v>0</v>
          </cell>
          <cell r="F27">
            <v>830.059201344298</v>
          </cell>
          <cell r="G27">
            <v>441.76939327330217</v>
          </cell>
          <cell r="H27">
            <v>388.28980807099583</v>
          </cell>
          <cell r="I27">
            <v>46153.00757524619</v>
          </cell>
          <cell r="J27">
            <v>3623.5403873448777</v>
          </cell>
        </row>
        <row r="28">
          <cell r="A28">
            <v>10</v>
          </cell>
          <cell r="B28">
            <v>39387</v>
          </cell>
          <cell r="C28">
            <v>46153.00757524619</v>
          </cell>
          <cell r="D28">
            <v>830.059201344298</v>
          </cell>
          <cell r="E28">
            <v>0</v>
          </cell>
          <cell r="F28">
            <v>830.059201344298</v>
          </cell>
          <cell r="G28">
            <v>445.45080488391307</v>
          </cell>
          <cell r="H28">
            <v>384.60839646038494</v>
          </cell>
          <cell r="I28">
            <v>45707.55677036228</v>
          </cell>
          <cell r="J28">
            <v>4008.1487838052626</v>
          </cell>
        </row>
        <row r="29">
          <cell r="A29">
            <v>11</v>
          </cell>
          <cell r="B29">
            <v>39417</v>
          </cell>
          <cell r="C29">
            <v>45707.55677036228</v>
          </cell>
          <cell r="D29">
            <v>830.059201344298</v>
          </cell>
          <cell r="E29">
            <v>0</v>
          </cell>
          <cell r="F29">
            <v>830.059201344298</v>
          </cell>
          <cell r="G29">
            <v>449.1628949246123</v>
          </cell>
          <cell r="H29">
            <v>380.8963064196857</v>
          </cell>
          <cell r="I29">
            <v>45258.393875437665</v>
          </cell>
          <cell r="J29">
            <v>4389.045090224949</v>
          </cell>
        </row>
        <row r="30">
          <cell r="A30">
            <v>12</v>
          </cell>
          <cell r="B30">
            <v>39448</v>
          </cell>
          <cell r="C30">
            <v>45258.393875437665</v>
          </cell>
          <cell r="D30">
            <v>830.059201344298</v>
          </cell>
          <cell r="E30">
            <v>0</v>
          </cell>
          <cell r="F30">
            <v>830.059201344298</v>
          </cell>
          <cell r="G30">
            <v>452.9059190489841</v>
          </cell>
          <cell r="H30">
            <v>377.1532822953139</v>
          </cell>
          <cell r="I30">
            <v>44805.48795638868</v>
          </cell>
          <cell r="J30">
            <v>4766.198372520263</v>
          </cell>
        </row>
        <row r="31">
          <cell r="A31">
            <v>13</v>
          </cell>
          <cell r="B31">
            <v>39479</v>
          </cell>
          <cell r="C31">
            <v>44805.48795638868</v>
          </cell>
          <cell r="D31">
            <v>830.059201344298</v>
          </cell>
          <cell r="E31">
            <v>0</v>
          </cell>
          <cell r="F31">
            <v>830.059201344298</v>
          </cell>
          <cell r="G31">
            <v>456.68013504105903</v>
          </cell>
          <cell r="H31">
            <v>373.379066303239</v>
          </cell>
          <cell r="I31">
            <v>44348.80782134762</v>
          </cell>
          <cell r="J31">
            <v>5139.577438823501</v>
          </cell>
        </row>
        <row r="32">
          <cell r="A32">
            <v>14</v>
          </cell>
          <cell r="B32">
            <v>39508</v>
          </cell>
          <cell r="C32">
            <v>44348.80782134762</v>
          </cell>
          <cell r="D32">
            <v>830.059201344298</v>
          </cell>
          <cell r="E32">
            <v>0</v>
          </cell>
          <cell r="F32">
            <v>830.059201344298</v>
          </cell>
          <cell r="G32">
            <v>460.48580283306785</v>
          </cell>
          <cell r="H32">
            <v>369.57339851123015</v>
          </cell>
          <cell r="I32">
            <v>43888.32201851455</v>
          </cell>
          <cell r="J32">
            <v>5509.1508373347315</v>
          </cell>
        </row>
        <row r="33">
          <cell r="A33">
            <v>15</v>
          </cell>
          <cell r="B33">
            <v>39539</v>
          </cell>
          <cell r="C33">
            <v>43888.32201851455</v>
          </cell>
          <cell r="D33">
            <v>830.059201344298</v>
          </cell>
          <cell r="E33">
            <v>0</v>
          </cell>
          <cell r="F33">
            <v>830.059201344298</v>
          </cell>
          <cell r="G33">
            <v>464.32318452334346</v>
          </cell>
          <cell r="H33">
            <v>365.73601682095455</v>
          </cell>
          <cell r="I33">
            <v>43423.9988339912</v>
          </cell>
          <cell r="J33">
            <v>5874.886854155686</v>
          </cell>
        </row>
        <row r="34">
          <cell r="A34">
            <v>16</v>
          </cell>
          <cell r="B34">
            <v>39569</v>
          </cell>
          <cell r="C34">
            <v>43423.9988339912</v>
          </cell>
          <cell r="D34">
            <v>830.059201344298</v>
          </cell>
          <cell r="E34">
            <v>0</v>
          </cell>
          <cell r="F34">
            <v>830.059201344298</v>
          </cell>
          <cell r="G34">
            <v>468.19254439437134</v>
          </cell>
          <cell r="H34">
            <v>361.86665694992666</v>
          </cell>
          <cell r="I34">
            <v>42955.80628959683</v>
          </cell>
          <cell r="J34">
            <v>6236.753511105612</v>
          </cell>
        </row>
        <row r="35">
          <cell r="A35">
            <v>17</v>
          </cell>
          <cell r="B35">
            <v>39600</v>
          </cell>
          <cell r="C35">
            <v>42955.80628959683</v>
          </cell>
          <cell r="D35">
            <v>830.059201344298</v>
          </cell>
          <cell r="E35">
            <v>0</v>
          </cell>
          <cell r="F35">
            <v>830.059201344298</v>
          </cell>
          <cell r="G35">
            <v>472.0941489309911</v>
          </cell>
          <cell r="H35">
            <v>357.9650524133069</v>
          </cell>
          <cell r="I35">
            <v>42483.71214066584</v>
          </cell>
          <cell r="J35">
            <v>6594.718563518919</v>
          </cell>
        </row>
        <row r="36">
          <cell r="A36">
            <v>18</v>
          </cell>
          <cell r="B36">
            <v>39630</v>
          </cell>
          <cell r="C36">
            <v>42483.71214066584</v>
          </cell>
          <cell r="D36">
            <v>830.059201344298</v>
          </cell>
          <cell r="E36">
            <v>0</v>
          </cell>
          <cell r="F36">
            <v>830.059201344298</v>
          </cell>
          <cell r="G36">
            <v>476.02826683874935</v>
          </cell>
          <cell r="H36">
            <v>354.03093450554866</v>
          </cell>
          <cell r="I36">
            <v>42007.68387382709</v>
          </cell>
          <cell r="J36">
            <v>6948.749498024467</v>
          </cell>
        </row>
        <row r="37">
          <cell r="A37">
            <v>19</v>
          </cell>
          <cell r="B37">
            <v>39661</v>
          </cell>
          <cell r="C37">
            <v>42007.68387382709</v>
          </cell>
          <cell r="D37">
            <v>830.059201344298</v>
          </cell>
          <cell r="E37">
            <v>0</v>
          </cell>
          <cell r="F37">
            <v>830.059201344298</v>
          </cell>
          <cell r="G37">
            <v>479.9951690624056</v>
          </cell>
          <cell r="H37">
            <v>350.0640322818924</v>
          </cell>
          <cell r="I37">
            <v>41527.68870476468</v>
          </cell>
          <cell r="J37">
            <v>7298.81353030636</v>
          </cell>
        </row>
        <row r="38">
          <cell r="A38">
            <v>20</v>
          </cell>
          <cell r="B38">
            <v>39692</v>
          </cell>
          <cell r="C38">
            <v>41527.68870476468</v>
          </cell>
          <cell r="D38">
            <v>830.059201344298</v>
          </cell>
          <cell r="E38">
            <v>0</v>
          </cell>
          <cell r="F38">
            <v>830.059201344298</v>
          </cell>
          <cell r="G38">
            <v>483.9951288045923</v>
          </cell>
          <cell r="H38">
            <v>346.0640725397057</v>
          </cell>
          <cell r="I38">
            <v>41043.69357596009</v>
          </cell>
          <cell r="J38">
            <v>7644.877602846066</v>
          </cell>
        </row>
        <row r="39">
          <cell r="A39">
            <v>21</v>
          </cell>
          <cell r="B39">
            <v>39722</v>
          </cell>
          <cell r="C39">
            <v>41043.69357596009</v>
          </cell>
          <cell r="D39">
            <v>830.059201344298</v>
          </cell>
          <cell r="E39">
            <v>0</v>
          </cell>
          <cell r="F39">
            <v>830.059201344298</v>
          </cell>
          <cell r="G39">
            <v>488.0284215446306</v>
          </cell>
          <cell r="H39">
            <v>342.0307797996674</v>
          </cell>
          <cell r="I39">
            <v>40555.66515441546</v>
          </cell>
          <cell r="J39">
            <v>7986.908382645734</v>
          </cell>
        </row>
        <row r="40">
          <cell r="A40">
            <v>22</v>
          </cell>
          <cell r="B40">
            <v>39753</v>
          </cell>
          <cell r="C40">
            <v>40555.66515441546</v>
          </cell>
          <cell r="D40">
            <v>830.059201344298</v>
          </cell>
          <cell r="E40">
            <v>0</v>
          </cell>
          <cell r="F40">
            <v>830.059201344298</v>
          </cell>
          <cell r="G40">
            <v>492.0953250575025</v>
          </cell>
          <cell r="H40">
            <v>337.9638762867955</v>
          </cell>
          <cell r="I40">
            <v>40063.569829357955</v>
          </cell>
          <cell r="J40">
            <v>8324.87225893253</v>
          </cell>
        </row>
        <row r="41">
          <cell r="A41">
            <v>23</v>
          </cell>
          <cell r="B41">
            <v>39783</v>
          </cell>
          <cell r="C41">
            <v>40063.569829357955</v>
          </cell>
          <cell r="D41">
            <v>830.059201344298</v>
          </cell>
          <cell r="E41">
            <v>0</v>
          </cell>
          <cell r="F41">
            <v>830.059201344298</v>
          </cell>
          <cell r="G41">
            <v>496.1961194329817</v>
          </cell>
          <cell r="H41">
            <v>333.8630819113163</v>
          </cell>
          <cell r="I41">
            <v>39567.37370992497</v>
          </cell>
          <cell r="J41">
            <v>8658.735340843847</v>
          </cell>
        </row>
        <row r="42">
          <cell r="A42">
            <v>24</v>
          </cell>
          <cell r="B42">
            <v>39814</v>
          </cell>
          <cell r="C42">
            <v>39567.37370992497</v>
          </cell>
          <cell r="D42">
            <v>830.059201344298</v>
          </cell>
          <cell r="E42">
            <v>0</v>
          </cell>
          <cell r="F42">
            <v>830.059201344298</v>
          </cell>
          <cell r="G42">
            <v>500.33108709492325</v>
          </cell>
          <cell r="H42">
            <v>329.72811424937476</v>
          </cell>
          <cell r="I42">
            <v>39067.04262283005</v>
          </cell>
          <cell r="J42">
            <v>8988.46345509322</v>
          </cell>
        </row>
        <row r="43">
          <cell r="A43">
            <v>25</v>
          </cell>
          <cell r="B43">
            <v>39845</v>
          </cell>
          <cell r="C43">
            <v>39067.04262283005</v>
          </cell>
          <cell r="D43">
            <v>830.059201344298</v>
          </cell>
          <cell r="E43">
            <v>0</v>
          </cell>
          <cell r="F43">
            <v>830.059201344298</v>
          </cell>
          <cell r="G43">
            <v>504.5005128207143</v>
          </cell>
          <cell r="H43">
            <v>325.5586885235837</v>
          </cell>
          <cell r="I43">
            <v>38562.54211000934</v>
          </cell>
          <cell r="J43">
            <v>9314.022143616805</v>
          </cell>
        </row>
        <row r="44">
          <cell r="A44">
            <v>26</v>
          </cell>
          <cell r="B44">
            <v>39873</v>
          </cell>
          <cell r="C44">
            <v>38562.54211000934</v>
          </cell>
          <cell r="D44">
            <v>830.059201344298</v>
          </cell>
          <cell r="E44">
            <v>0</v>
          </cell>
          <cell r="F44">
            <v>830.059201344298</v>
          </cell>
          <cell r="G44">
            <v>508.70468376088684</v>
          </cell>
          <cell r="H44">
            <v>321.35451758341117</v>
          </cell>
          <cell r="I44">
            <v>38053.83742624845</v>
          </cell>
          <cell r="J44">
            <v>9635.376661200216</v>
          </cell>
        </row>
        <row r="45">
          <cell r="A45">
            <v>27</v>
          </cell>
          <cell r="B45">
            <v>39904</v>
          </cell>
          <cell r="C45">
            <v>38053.83742624845</v>
          </cell>
          <cell r="D45">
            <v>830.059201344298</v>
          </cell>
          <cell r="E45">
            <v>0</v>
          </cell>
          <cell r="F45">
            <v>830.059201344298</v>
          </cell>
          <cell r="G45">
            <v>512.9438894588943</v>
          </cell>
          <cell r="H45">
            <v>317.11531188540374</v>
          </cell>
          <cell r="I45">
            <v>37540.893536789554</v>
          </cell>
          <cell r="J45">
            <v>9952.49197308562</v>
          </cell>
        </row>
        <row r="46">
          <cell r="A46">
            <v>28</v>
          </cell>
          <cell r="B46">
            <v>39934</v>
          </cell>
          <cell r="C46">
            <v>37540.893536789554</v>
          </cell>
          <cell r="D46">
            <v>830.059201344298</v>
          </cell>
          <cell r="E46">
            <v>0</v>
          </cell>
          <cell r="F46">
            <v>830.059201344298</v>
          </cell>
          <cell r="G46">
            <v>517.2184218710518</v>
          </cell>
          <cell r="H46">
            <v>312.8407794732463</v>
          </cell>
          <cell r="I46">
            <v>37023.6751149185</v>
          </cell>
          <cell r="J46">
            <v>10265.332752558867</v>
          </cell>
        </row>
        <row r="47">
          <cell r="A47">
            <v>29</v>
          </cell>
          <cell r="B47">
            <v>39965</v>
          </cell>
          <cell r="C47">
            <v>37023.6751149185</v>
          </cell>
          <cell r="D47">
            <v>830.059201344298</v>
          </cell>
          <cell r="E47">
            <v>0</v>
          </cell>
          <cell r="F47">
            <v>830.059201344298</v>
          </cell>
          <cell r="G47">
            <v>521.5285753866438</v>
          </cell>
          <cell r="H47">
            <v>308.5306259576542</v>
          </cell>
          <cell r="I47">
            <v>36502.14653953186</v>
          </cell>
          <cell r="J47">
            <v>10573.86337851652</v>
          </cell>
        </row>
        <row r="48">
          <cell r="A48">
            <v>30</v>
          </cell>
          <cell r="B48">
            <v>39995</v>
          </cell>
          <cell r="C48">
            <v>36502.14653953186</v>
          </cell>
          <cell r="D48">
            <v>830.059201344298</v>
          </cell>
          <cell r="E48">
            <v>0</v>
          </cell>
          <cell r="F48">
            <v>830.059201344298</v>
          </cell>
          <cell r="G48">
            <v>525.8746468481992</v>
          </cell>
          <cell r="H48">
            <v>304.1845544960988</v>
          </cell>
          <cell r="I48">
            <v>35976.27189268366</v>
          </cell>
          <cell r="J48">
            <v>10878.047933012618</v>
          </cell>
        </row>
        <row r="49">
          <cell r="A49">
            <v>31</v>
          </cell>
          <cell r="B49">
            <v>40026</v>
          </cell>
          <cell r="C49">
            <v>35976.27189268366</v>
          </cell>
          <cell r="D49">
            <v>830.059201344298</v>
          </cell>
          <cell r="E49">
            <v>0</v>
          </cell>
          <cell r="F49">
            <v>830.059201344298</v>
          </cell>
          <cell r="G49">
            <v>530.2569355719342</v>
          </cell>
          <cell r="H49">
            <v>299.80226577236385</v>
          </cell>
          <cell r="I49">
            <v>35446.01495711173</v>
          </cell>
          <cell r="J49">
            <v>11177.850198784981</v>
          </cell>
        </row>
        <row r="50">
          <cell r="A50">
            <v>32</v>
          </cell>
          <cell r="B50">
            <v>40057</v>
          </cell>
          <cell r="C50">
            <v>35446.01495711173</v>
          </cell>
          <cell r="D50">
            <v>830.059201344298</v>
          </cell>
          <cell r="E50">
            <v>0</v>
          </cell>
          <cell r="F50">
            <v>830.059201344298</v>
          </cell>
          <cell r="G50">
            <v>534.675743368367</v>
          </cell>
          <cell r="H50">
            <v>295.3834579759311</v>
          </cell>
          <cell r="I50">
            <v>34911.33921374336</v>
          </cell>
          <cell r="J50">
            <v>11473.233656760913</v>
          </cell>
        </row>
        <row r="51">
          <cell r="A51">
            <v>33</v>
          </cell>
          <cell r="B51">
            <v>40087</v>
          </cell>
          <cell r="C51">
            <v>34911.33921374336</v>
          </cell>
          <cell r="D51">
            <v>830.059201344298</v>
          </cell>
          <cell r="E51">
            <v>0</v>
          </cell>
          <cell r="F51">
            <v>830.059201344298</v>
          </cell>
          <cell r="G51">
            <v>539.1313745631032</v>
          </cell>
          <cell r="H51">
            <v>290.9278267811947</v>
          </cell>
          <cell r="I51">
            <v>34372.20783918026</v>
          </cell>
          <cell r="J51">
            <v>11764.161483542108</v>
          </cell>
        </row>
        <row r="52">
          <cell r="A52">
            <v>34</v>
          </cell>
          <cell r="B52">
            <v>40118</v>
          </cell>
          <cell r="C52">
            <v>34372.20783918026</v>
          </cell>
          <cell r="D52">
            <v>830.059201344298</v>
          </cell>
          <cell r="E52">
            <v>0</v>
          </cell>
          <cell r="F52">
            <v>830.059201344298</v>
          </cell>
          <cell r="G52">
            <v>543.6241360177958</v>
          </cell>
          <cell r="H52">
            <v>286.4350653265022</v>
          </cell>
          <cell r="I52">
            <v>33828.58370316246</v>
          </cell>
          <cell r="J52">
            <v>12050.59654886861</v>
          </cell>
        </row>
        <row r="53">
          <cell r="A53">
            <v>35</v>
          </cell>
          <cell r="B53">
            <v>40148</v>
          </cell>
          <cell r="C53">
            <v>33828.58370316246</v>
          </cell>
          <cell r="D53">
            <v>830.059201344298</v>
          </cell>
          <cell r="E53">
            <v>0</v>
          </cell>
          <cell r="F53">
            <v>830.059201344298</v>
          </cell>
          <cell r="G53">
            <v>548.1543371512776</v>
          </cell>
          <cell r="H53">
            <v>281.9048641930205</v>
          </cell>
          <cell r="I53">
            <v>33280.42936601119</v>
          </cell>
          <cell r="J53">
            <v>12332.501413061631</v>
          </cell>
        </row>
        <row r="54">
          <cell r="A54">
            <v>36</v>
          </cell>
          <cell r="B54">
            <v>40179</v>
          </cell>
          <cell r="C54">
            <v>33280.42936601119</v>
          </cell>
          <cell r="D54">
            <v>830.059201344298</v>
          </cell>
          <cell r="E54">
            <v>0</v>
          </cell>
          <cell r="F54">
            <v>830.059201344298</v>
          </cell>
          <cell r="G54">
            <v>552.7222899608714</v>
          </cell>
          <cell r="H54">
            <v>277.3369113834266</v>
          </cell>
          <cell r="I54">
            <v>32727.707076050316</v>
          </cell>
          <cell r="J54">
            <v>12609.838324445058</v>
          </cell>
        </row>
        <row r="55">
          <cell r="A55">
            <v>37</v>
          </cell>
          <cell r="B55">
            <v>40210</v>
          </cell>
          <cell r="C55">
            <v>32727.707076050316</v>
          </cell>
          <cell r="D55">
            <v>830.059201344298</v>
          </cell>
          <cell r="E55">
            <v>0</v>
          </cell>
          <cell r="F55">
            <v>830.059201344298</v>
          </cell>
          <cell r="G55">
            <v>557.3283090438787</v>
          </cell>
          <cell r="H55">
            <v>272.7308923004193</v>
          </cell>
          <cell r="I55">
            <v>32170.378767006438</v>
          </cell>
          <cell r="J55">
            <v>12882.569216745476</v>
          </cell>
        </row>
        <row r="56">
          <cell r="A56">
            <v>38</v>
          </cell>
          <cell r="B56">
            <v>40238</v>
          </cell>
          <cell r="C56">
            <v>32170.378767006438</v>
          </cell>
          <cell r="D56">
            <v>830.059201344298</v>
          </cell>
          <cell r="E56">
            <v>0</v>
          </cell>
          <cell r="F56">
            <v>830.059201344298</v>
          </cell>
          <cell r="G56">
            <v>561.9727116192444</v>
          </cell>
          <cell r="H56">
            <v>268.0864897250537</v>
          </cell>
          <cell r="I56">
            <v>31608.406055387193</v>
          </cell>
          <cell r="J56">
            <v>13150.65570647053</v>
          </cell>
        </row>
        <row r="57">
          <cell r="A57">
            <v>39</v>
          </cell>
          <cell r="B57">
            <v>40269</v>
          </cell>
          <cell r="C57">
            <v>31608.406055387193</v>
          </cell>
          <cell r="D57">
            <v>830.059201344298</v>
          </cell>
          <cell r="E57">
            <v>0</v>
          </cell>
          <cell r="F57">
            <v>830.059201344298</v>
          </cell>
          <cell r="G57">
            <v>566.6558175494047</v>
          </cell>
          <cell r="H57">
            <v>263.4033837948933</v>
          </cell>
          <cell r="I57">
            <v>31041.75023783779</v>
          </cell>
          <cell r="J57">
            <v>13414.059090265424</v>
          </cell>
        </row>
        <row r="58">
          <cell r="A58">
            <v>40</v>
          </cell>
          <cell r="B58">
            <v>40299</v>
          </cell>
          <cell r="C58">
            <v>31041.75023783779</v>
          </cell>
          <cell r="D58">
            <v>830.059201344298</v>
          </cell>
          <cell r="E58">
            <v>0</v>
          </cell>
          <cell r="F58">
            <v>830.059201344298</v>
          </cell>
          <cell r="G58">
            <v>571.3779493623165</v>
          </cell>
          <cell r="H58">
            <v>258.6812519819816</v>
          </cell>
          <cell r="I58">
            <v>30470.372288475475</v>
          </cell>
          <cell r="J58">
            <v>13672.740342247405</v>
          </cell>
        </row>
        <row r="59">
          <cell r="A59">
            <v>41</v>
          </cell>
          <cell r="B59">
            <v>40330</v>
          </cell>
          <cell r="C59">
            <v>30470.372288475475</v>
          </cell>
          <cell r="D59">
            <v>830.059201344298</v>
          </cell>
          <cell r="E59">
            <v>0</v>
          </cell>
          <cell r="F59">
            <v>830.059201344298</v>
          </cell>
          <cell r="G59">
            <v>576.1394322736691</v>
          </cell>
          <cell r="H59">
            <v>253.91976907062897</v>
          </cell>
          <cell r="I59">
            <v>29894.232856201805</v>
          </cell>
          <cell r="J59">
            <v>13926.660111318035</v>
          </cell>
        </row>
        <row r="60">
          <cell r="A60">
            <v>42</v>
          </cell>
          <cell r="B60">
            <v>40360</v>
          </cell>
          <cell r="C60">
            <v>29894.232856201805</v>
          </cell>
          <cell r="D60">
            <v>830.059201344298</v>
          </cell>
          <cell r="E60">
            <v>0</v>
          </cell>
          <cell r="F60">
            <v>830.059201344298</v>
          </cell>
          <cell r="G60">
            <v>580.940594209283</v>
          </cell>
          <cell r="H60">
            <v>249.11860713501505</v>
          </cell>
          <cell r="I60">
            <v>29313.292261992523</v>
          </cell>
          <cell r="J60">
            <v>14175.77871845305</v>
          </cell>
        </row>
        <row r="61">
          <cell r="A61">
            <v>43</v>
          </cell>
          <cell r="B61">
            <v>40391</v>
          </cell>
          <cell r="C61">
            <v>29313.292261992523</v>
          </cell>
          <cell r="D61">
            <v>830.059201344298</v>
          </cell>
          <cell r="E61">
            <v>0</v>
          </cell>
          <cell r="F61">
            <v>830.059201344298</v>
          </cell>
          <cell r="G61">
            <v>585.7817658276937</v>
          </cell>
          <cell r="H61">
            <v>244.27743551660436</v>
          </cell>
          <cell r="I61">
            <v>28727.51049616483</v>
          </cell>
          <cell r="J61">
            <v>14420.056153969654</v>
          </cell>
        </row>
        <row r="62">
          <cell r="A62">
            <v>44</v>
          </cell>
          <cell r="B62">
            <v>40422</v>
          </cell>
          <cell r="C62">
            <v>28727.51049616483</v>
          </cell>
          <cell r="D62">
            <v>830.059201344298</v>
          </cell>
          <cell r="E62">
            <v>0</v>
          </cell>
          <cell r="F62">
            <v>830.059201344298</v>
          </cell>
          <cell r="G62">
            <v>590.6632805429244</v>
          </cell>
          <cell r="H62">
            <v>239.3959208013736</v>
          </cell>
          <cell r="I62">
            <v>28136.847215621903</v>
          </cell>
          <cell r="J62">
            <v>14659.452074771027</v>
          </cell>
        </row>
        <row r="63">
          <cell r="A63">
            <v>45</v>
          </cell>
          <cell r="B63">
            <v>40452</v>
          </cell>
          <cell r="C63">
            <v>28136.847215621903</v>
          </cell>
          <cell r="D63">
            <v>830.059201344298</v>
          </cell>
          <cell r="E63">
            <v>0</v>
          </cell>
          <cell r="F63">
            <v>830.059201344298</v>
          </cell>
          <cell r="G63">
            <v>595.5854745474488</v>
          </cell>
          <cell r="H63">
            <v>234.4737267968492</v>
          </cell>
          <cell r="I63">
            <v>27541.261741074453</v>
          </cell>
          <cell r="J63">
            <v>14893.925801567875</v>
          </cell>
        </row>
        <row r="64">
          <cell r="A64">
            <v>46</v>
          </cell>
          <cell r="B64">
            <v>40483</v>
          </cell>
          <cell r="C64">
            <v>27541.261741074453</v>
          </cell>
          <cell r="D64">
            <v>830.059201344298</v>
          </cell>
          <cell r="E64">
            <v>0</v>
          </cell>
          <cell r="F64">
            <v>830.059201344298</v>
          </cell>
          <cell r="G64">
            <v>600.5486868353443</v>
          </cell>
          <cell r="H64">
            <v>229.51051450895378</v>
          </cell>
          <cell r="I64">
            <v>26940.71305423911</v>
          </cell>
          <cell r="J64">
            <v>15123.43631607683</v>
          </cell>
        </row>
        <row r="65">
          <cell r="A65">
            <v>47</v>
          </cell>
          <cell r="B65">
            <v>40513</v>
          </cell>
          <cell r="C65">
            <v>26940.71305423911</v>
          </cell>
          <cell r="D65">
            <v>830.059201344298</v>
          </cell>
          <cell r="E65">
            <v>0</v>
          </cell>
          <cell r="F65">
            <v>830.059201344298</v>
          </cell>
          <cell r="G65">
            <v>605.5532592256387</v>
          </cell>
          <cell r="H65">
            <v>224.50594211865928</v>
          </cell>
          <cell r="I65">
            <v>26335.15979501347</v>
          </cell>
          <cell r="J65">
            <v>15347.94225819549</v>
          </cell>
        </row>
        <row r="66">
          <cell r="A66">
            <v>48</v>
          </cell>
          <cell r="B66">
            <v>40544</v>
          </cell>
          <cell r="C66">
            <v>26335.15979501347</v>
          </cell>
          <cell r="D66">
            <v>830.059201344298</v>
          </cell>
          <cell r="E66">
            <v>0</v>
          </cell>
          <cell r="F66">
            <v>830.059201344298</v>
          </cell>
          <cell r="G66">
            <v>610.5995363858524</v>
          </cell>
          <cell r="H66">
            <v>219.45966495844561</v>
          </cell>
          <cell r="I66">
            <v>25724.560258627618</v>
          </cell>
          <cell r="J66">
            <v>15567.401923153935</v>
          </cell>
        </row>
        <row r="67">
          <cell r="A67">
            <v>49</v>
          </cell>
          <cell r="B67">
            <v>40575</v>
          </cell>
          <cell r="C67">
            <v>25724.560258627618</v>
          </cell>
          <cell r="D67">
            <v>830.059201344298</v>
          </cell>
          <cell r="E67">
            <v>0</v>
          </cell>
          <cell r="F67">
            <v>830.059201344298</v>
          </cell>
          <cell r="G67">
            <v>615.6878658557345</v>
          </cell>
          <cell r="H67">
            <v>214.37133548856352</v>
          </cell>
          <cell r="I67">
            <v>25108.872392771882</v>
          </cell>
          <cell r="J67">
            <v>15781.773258642499</v>
          </cell>
        </row>
        <row r="68">
          <cell r="A68">
            <v>50</v>
          </cell>
          <cell r="B68">
            <v>40603</v>
          </cell>
          <cell r="C68">
            <v>25108.872392771882</v>
          </cell>
          <cell r="D68">
            <v>830.059201344298</v>
          </cell>
          <cell r="E68">
            <v>0</v>
          </cell>
          <cell r="F68">
            <v>830.059201344298</v>
          </cell>
          <cell r="G68">
            <v>620.818598071199</v>
          </cell>
          <cell r="H68">
            <v>209.24060327309903</v>
          </cell>
          <cell r="I68">
            <v>24488.05379470068</v>
          </cell>
          <cell r="J68">
            <v>15991.013861915599</v>
          </cell>
        </row>
        <row r="69">
          <cell r="A69">
            <v>51</v>
          </cell>
          <cell r="B69">
            <v>40634</v>
          </cell>
          <cell r="C69">
            <v>24488.05379470068</v>
          </cell>
          <cell r="D69">
            <v>830.059201344298</v>
          </cell>
          <cell r="E69">
            <v>0</v>
          </cell>
          <cell r="F69">
            <v>830.059201344298</v>
          </cell>
          <cell r="G69">
            <v>625.992086388459</v>
          </cell>
          <cell r="H69">
            <v>204.067114955839</v>
          </cell>
          <cell r="I69">
            <v>23862.061708312223</v>
          </cell>
          <cell r="J69">
            <v>16195.080976871437</v>
          </cell>
        </row>
        <row r="70">
          <cell r="A70">
            <v>52</v>
          </cell>
          <cell r="B70">
            <v>40664</v>
          </cell>
          <cell r="C70">
            <v>23862.061708312223</v>
          </cell>
          <cell r="D70">
            <v>830.059201344298</v>
          </cell>
          <cell r="E70">
            <v>0</v>
          </cell>
          <cell r="F70">
            <v>830.059201344298</v>
          </cell>
          <cell r="G70">
            <v>631.2086871083628</v>
          </cell>
          <cell r="H70">
            <v>198.8505142359352</v>
          </cell>
          <cell r="I70">
            <v>23230.85302120386</v>
          </cell>
          <cell r="J70">
            <v>16393.93149110737</v>
          </cell>
        </row>
        <row r="71">
          <cell r="A71">
            <v>53</v>
          </cell>
          <cell r="B71">
            <v>40695</v>
          </cell>
          <cell r="C71">
            <v>23230.85302120386</v>
          </cell>
          <cell r="D71">
            <v>830.059201344298</v>
          </cell>
          <cell r="E71">
            <v>0</v>
          </cell>
          <cell r="F71">
            <v>830.059201344298</v>
          </cell>
          <cell r="G71">
            <v>636.4687595009325</v>
          </cell>
          <cell r="H71">
            <v>193.5904418433655</v>
          </cell>
          <cell r="I71">
            <v>22594.38426170293</v>
          </cell>
          <cell r="J71">
            <v>16587.521932950734</v>
          </cell>
        </row>
        <row r="72">
          <cell r="A72">
            <v>54</v>
          </cell>
          <cell r="B72">
            <v>40725</v>
          </cell>
          <cell r="C72">
            <v>22594.38426170293</v>
          </cell>
          <cell r="D72">
            <v>830.059201344298</v>
          </cell>
          <cell r="E72">
            <v>0</v>
          </cell>
          <cell r="F72">
            <v>830.059201344298</v>
          </cell>
          <cell r="G72">
            <v>641.7726658301069</v>
          </cell>
          <cell r="H72">
            <v>188.2865355141911</v>
          </cell>
          <cell r="I72">
            <v>21952.611595872822</v>
          </cell>
          <cell r="J72">
            <v>16775.808468464926</v>
          </cell>
        </row>
        <row r="73">
          <cell r="A73">
            <v>55</v>
          </cell>
          <cell r="B73">
            <v>40756</v>
          </cell>
          <cell r="C73">
            <v>21952.611595872822</v>
          </cell>
          <cell r="D73">
            <v>830.059201344298</v>
          </cell>
          <cell r="E73">
            <v>0</v>
          </cell>
          <cell r="F73">
            <v>830.059201344298</v>
          </cell>
          <cell r="G73">
            <v>647.1207713786912</v>
          </cell>
          <cell r="H73">
            <v>182.93842996560684</v>
          </cell>
          <cell r="I73">
            <v>21305.490824494133</v>
          </cell>
          <cell r="J73">
            <v>16958.746898430534</v>
          </cell>
        </row>
        <row r="74">
          <cell r="A74">
            <v>56</v>
          </cell>
          <cell r="B74">
            <v>40787</v>
          </cell>
          <cell r="C74">
            <v>21305.490824494133</v>
          </cell>
          <cell r="D74">
            <v>830.059201344298</v>
          </cell>
          <cell r="E74">
            <v>0</v>
          </cell>
          <cell r="F74">
            <v>830.059201344298</v>
          </cell>
          <cell r="G74">
            <v>652.5134444735136</v>
          </cell>
          <cell r="H74">
            <v>177.54575687078443</v>
          </cell>
          <cell r="I74">
            <v>20652.97738002062</v>
          </cell>
          <cell r="J74">
            <v>17136.29265530132</v>
          </cell>
        </row>
        <row r="75">
          <cell r="A75">
            <v>57</v>
          </cell>
          <cell r="B75">
            <v>40817</v>
          </cell>
          <cell r="C75">
            <v>20652.97738002062</v>
          </cell>
          <cell r="D75">
            <v>830.059201344298</v>
          </cell>
          <cell r="E75">
            <v>0</v>
          </cell>
          <cell r="F75">
            <v>830.059201344298</v>
          </cell>
          <cell r="G75">
            <v>657.9510565107928</v>
          </cell>
          <cell r="H75">
            <v>172.10814483350518</v>
          </cell>
          <cell r="I75">
            <v>19995.02632350983</v>
          </cell>
          <cell r="J75">
            <v>17308.400800134827</v>
          </cell>
        </row>
        <row r="76">
          <cell r="A76">
            <v>58</v>
          </cell>
          <cell r="B76">
            <v>40848</v>
          </cell>
          <cell r="C76">
            <v>19995.02632350983</v>
          </cell>
          <cell r="D76">
            <v>830.059201344298</v>
          </cell>
          <cell r="E76">
            <v>0</v>
          </cell>
          <cell r="F76">
            <v>830.059201344298</v>
          </cell>
          <cell r="G76">
            <v>663.4339819817161</v>
          </cell>
          <cell r="H76">
            <v>166.6252193625819</v>
          </cell>
          <cell r="I76">
            <v>19331.59234152811</v>
          </cell>
          <cell r="J76">
            <v>17475.026019497407</v>
          </cell>
        </row>
        <row r="77">
          <cell r="A77">
            <v>59</v>
          </cell>
          <cell r="B77">
            <v>40878</v>
          </cell>
          <cell r="C77">
            <v>19331.59234152811</v>
          </cell>
          <cell r="D77">
            <v>830.059201344298</v>
          </cell>
          <cell r="E77">
            <v>0</v>
          </cell>
          <cell r="F77">
            <v>830.059201344298</v>
          </cell>
          <cell r="G77">
            <v>668.9625984982304</v>
          </cell>
          <cell r="H77">
            <v>161.0966028460676</v>
          </cell>
          <cell r="I77">
            <v>18662.62974302988</v>
          </cell>
          <cell r="J77">
            <v>17636.122622343475</v>
          </cell>
        </row>
        <row r="78">
          <cell r="A78">
            <v>60</v>
          </cell>
          <cell r="B78">
            <v>40909</v>
          </cell>
          <cell r="C78">
            <v>18662.62974302988</v>
          </cell>
          <cell r="D78">
            <v>830.059201344298</v>
          </cell>
          <cell r="E78">
            <v>0</v>
          </cell>
          <cell r="F78">
            <v>830.059201344298</v>
          </cell>
          <cell r="G78">
            <v>674.537286819049</v>
          </cell>
          <cell r="H78">
            <v>155.521914525249</v>
          </cell>
          <cell r="I78">
            <v>17988.09245621083</v>
          </cell>
          <cell r="J78">
            <v>17791.644536868724</v>
          </cell>
        </row>
        <row r="79">
          <cell r="A79">
            <v>61</v>
          </cell>
          <cell r="B79">
            <v>40940</v>
          </cell>
          <cell r="C79">
            <v>17988.09245621083</v>
          </cell>
          <cell r="D79">
            <v>830.059201344298</v>
          </cell>
          <cell r="E79">
            <v>0</v>
          </cell>
          <cell r="F79">
            <v>830.059201344298</v>
          </cell>
          <cell r="G79">
            <v>680.1584308758744</v>
          </cell>
          <cell r="H79">
            <v>149.9007704684236</v>
          </cell>
          <cell r="I79">
            <v>17307.934025334955</v>
          </cell>
          <cell r="J79">
            <v>17941.545307337146</v>
          </cell>
        </row>
        <row r="80">
          <cell r="A80">
            <v>62</v>
          </cell>
          <cell r="B80">
            <v>40969</v>
          </cell>
          <cell r="C80">
            <v>17307.934025334955</v>
          </cell>
          <cell r="D80">
            <v>830.059201344298</v>
          </cell>
          <cell r="E80">
            <v>0</v>
          </cell>
          <cell r="F80">
            <v>830.059201344298</v>
          </cell>
          <cell r="G80">
            <v>685.8264177998401</v>
          </cell>
          <cell r="H80">
            <v>144.23278354445796</v>
          </cell>
          <cell r="I80">
            <v>16622.107607535116</v>
          </cell>
          <cell r="J80">
            <v>18085.778090881606</v>
          </cell>
        </row>
        <row r="81">
          <cell r="A81">
            <v>63</v>
          </cell>
          <cell r="B81">
            <v>41000</v>
          </cell>
          <cell r="C81">
            <v>16622.107607535116</v>
          </cell>
          <cell r="D81">
            <v>830.059201344298</v>
          </cell>
          <cell r="E81">
            <v>0</v>
          </cell>
          <cell r="F81">
            <v>830.059201344298</v>
          </cell>
          <cell r="G81">
            <v>691.541637948172</v>
          </cell>
          <cell r="H81">
            <v>138.51756339612598</v>
          </cell>
          <cell r="I81">
            <v>15930.565969586944</v>
          </cell>
          <cell r="J81">
            <v>18224.295654277732</v>
          </cell>
        </row>
        <row r="82">
          <cell r="A82">
            <v>64</v>
          </cell>
          <cell r="B82">
            <v>41030</v>
          </cell>
          <cell r="C82">
            <v>15930.565969586944</v>
          </cell>
          <cell r="D82">
            <v>830.059201344298</v>
          </cell>
          <cell r="E82">
            <v>0</v>
          </cell>
          <cell r="F82">
            <v>830.059201344298</v>
          </cell>
          <cell r="G82">
            <v>697.3044849310735</v>
          </cell>
          <cell r="H82">
            <v>132.75471641322454</v>
          </cell>
          <cell r="I82">
            <v>15233.26148465587</v>
          </cell>
          <cell r="J82">
            <v>18357.050370690955</v>
          </cell>
        </row>
        <row r="83">
          <cell r="A83">
            <v>65</v>
          </cell>
          <cell r="B83">
            <v>41061</v>
          </cell>
          <cell r="C83">
            <v>15233.26148465587</v>
          </cell>
          <cell r="D83">
            <v>830.059201344298</v>
          </cell>
          <cell r="E83">
            <v>0</v>
          </cell>
          <cell r="F83">
            <v>830.059201344298</v>
          </cell>
          <cell r="G83">
            <v>703.1153556388324</v>
          </cell>
          <cell r="H83">
            <v>126.94384570546559</v>
          </cell>
          <cell r="I83">
            <v>14530.146129017037</v>
          </cell>
          <cell r="J83">
            <v>18483.99421639642</v>
          </cell>
        </row>
        <row r="84">
          <cell r="A84">
            <v>66</v>
          </cell>
          <cell r="B84">
            <v>41091</v>
          </cell>
          <cell r="C84">
            <v>14530.146129017037</v>
          </cell>
          <cell r="D84">
            <v>830.059201344298</v>
          </cell>
          <cell r="E84">
            <v>0</v>
          </cell>
          <cell r="F84">
            <v>830.059201344298</v>
          </cell>
          <cell r="G84">
            <v>708.974650269156</v>
          </cell>
          <cell r="H84">
            <v>121.08455107514199</v>
          </cell>
          <cell r="I84">
            <v>13821.171478747881</v>
          </cell>
          <cell r="J84">
            <v>18605.07876747156</v>
          </cell>
        </row>
        <row r="85">
          <cell r="A85">
            <v>67</v>
          </cell>
          <cell r="B85">
            <v>41122</v>
          </cell>
          <cell r="C85">
            <v>13821.171478747881</v>
          </cell>
          <cell r="D85">
            <v>830.059201344298</v>
          </cell>
          <cell r="E85">
            <v>0</v>
          </cell>
          <cell r="F85">
            <v>830.059201344298</v>
          </cell>
          <cell r="G85">
            <v>714.8827723547323</v>
          </cell>
          <cell r="H85">
            <v>115.1764289895657</v>
          </cell>
          <cell r="I85">
            <v>13106.288706393148</v>
          </cell>
          <cell r="J85">
            <v>18720.255196461127</v>
          </cell>
        </row>
        <row r="86">
          <cell r="A86">
            <v>68</v>
          </cell>
          <cell r="B86">
            <v>41153</v>
          </cell>
          <cell r="C86">
            <v>13106.288706393148</v>
          </cell>
          <cell r="D86">
            <v>830.059201344298</v>
          </cell>
          <cell r="E86">
            <v>0</v>
          </cell>
          <cell r="F86">
            <v>830.059201344298</v>
          </cell>
          <cell r="G86">
            <v>720.8401287910217</v>
          </cell>
          <cell r="H86">
            <v>109.21907255327625</v>
          </cell>
          <cell r="I86">
            <v>12385.448577602127</v>
          </cell>
          <cell r="J86">
            <v>18829.4742690144</v>
          </cell>
        </row>
        <row r="87">
          <cell r="A87">
            <v>69</v>
          </cell>
          <cell r="B87">
            <v>41183</v>
          </cell>
          <cell r="C87">
            <v>12385.448577602127</v>
          </cell>
          <cell r="D87">
            <v>830.059201344298</v>
          </cell>
          <cell r="E87">
            <v>0</v>
          </cell>
          <cell r="F87">
            <v>830.059201344298</v>
          </cell>
          <cell r="G87">
            <v>726.8471298642803</v>
          </cell>
          <cell r="H87">
            <v>103.21207148001774</v>
          </cell>
          <cell r="I87">
            <v>11658.601447737847</v>
          </cell>
          <cell r="J87">
            <v>18932.68634049442</v>
          </cell>
        </row>
        <row r="88">
          <cell r="A88">
            <v>70</v>
          </cell>
          <cell r="B88">
            <v>41214</v>
          </cell>
          <cell r="C88">
            <v>11658.601447737847</v>
          </cell>
          <cell r="D88">
            <v>830.059201344298</v>
          </cell>
          <cell r="E88">
            <v>0</v>
          </cell>
          <cell r="F88">
            <v>830.059201344298</v>
          </cell>
          <cell r="G88">
            <v>732.9041892798159</v>
          </cell>
          <cell r="H88">
            <v>97.15501206448205</v>
          </cell>
          <cell r="I88">
            <v>10925.69725845803</v>
          </cell>
          <cell r="J88">
            <v>19029.841352558902</v>
          </cell>
        </row>
        <row r="89">
          <cell r="A89">
            <v>71</v>
          </cell>
          <cell r="B89">
            <v>41244</v>
          </cell>
          <cell r="C89">
            <v>10925.69725845803</v>
          </cell>
          <cell r="D89">
            <v>830.059201344298</v>
          </cell>
          <cell r="E89">
            <v>0</v>
          </cell>
          <cell r="F89">
            <v>830.059201344298</v>
          </cell>
          <cell r="G89">
            <v>739.0117241904811</v>
          </cell>
          <cell r="H89">
            <v>91.04747715381693</v>
          </cell>
          <cell r="I89">
            <v>10186.68553426755</v>
          </cell>
          <cell r="J89">
            <v>19120.88882971272</v>
          </cell>
        </row>
        <row r="90">
          <cell r="A90">
            <v>72</v>
          </cell>
          <cell r="B90">
            <v>41275</v>
          </cell>
          <cell r="C90">
            <v>10186.68553426755</v>
          </cell>
          <cell r="D90">
            <v>830.059201344298</v>
          </cell>
          <cell r="E90">
            <v>0</v>
          </cell>
          <cell r="F90">
            <v>830.059201344298</v>
          </cell>
          <cell r="G90">
            <v>745.1701552254018</v>
          </cell>
          <cell r="H90">
            <v>84.88904611889625</v>
          </cell>
          <cell r="I90">
            <v>9441.515379042148</v>
          </cell>
          <cell r="J90">
            <v>19205.777875831616</v>
          </cell>
        </row>
        <row r="91">
          <cell r="A91">
            <v>73</v>
          </cell>
          <cell r="B91">
            <v>41306</v>
          </cell>
          <cell r="C91">
            <v>9441.515379042148</v>
          </cell>
          <cell r="D91">
            <v>830.059201344298</v>
          </cell>
          <cell r="E91">
            <v>0</v>
          </cell>
          <cell r="F91">
            <v>830.059201344298</v>
          </cell>
          <cell r="G91">
            <v>751.3799065189468</v>
          </cell>
          <cell r="H91">
            <v>78.67929482535123</v>
          </cell>
          <cell r="I91">
            <v>8690.135472523201</v>
          </cell>
          <cell r="J91">
            <v>19284.457170656966</v>
          </cell>
        </row>
        <row r="92">
          <cell r="A92">
            <v>74</v>
          </cell>
          <cell r="B92">
            <v>41334</v>
          </cell>
          <cell r="C92">
            <v>8690.135472523201</v>
          </cell>
          <cell r="D92">
            <v>830.059201344298</v>
          </cell>
          <cell r="E92">
            <v>0</v>
          </cell>
          <cell r="F92">
            <v>830.059201344298</v>
          </cell>
          <cell r="G92">
            <v>757.641405739938</v>
          </cell>
          <cell r="H92">
            <v>72.41779560436002</v>
          </cell>
          <cell r="I92">
            <v>7932.494066783263</v>
          </cell>
          <cell r="J92">
            <v>19356.874966261326</v>
          </cell>
        </row>
        <row r="93">
          <cell r="A93">
            <v>75</v>
          </cell>
          <cell r="B93">
            <v>41365</v>
          </cell>
          <cell r="C93">
            <v>7932.494066783263</v>
          </cell>
          <cell r="D93">
            <v>830.059201344298</v>
          </cell>
          <cell r="E93">
            <v>0</v>
          </cell>
          <cell r="F93">
            <v>830.059201344298</v>
          </cell>
          <cell r="G93">
            <v>763.9550841211042</v>
          </cell>
          <cell r="H93">
            <v>66.10411722319387</v>
          </cell>
          <cell r="I93">
            <v>7168.5389826621595</v>
          </cell>
          <cell r="J93">
            <v>19422.97908348452</v>
          </cell>
        </row>
        <row r="94">
          <cell r="A94">
            <v>76</v>
          </cell>
          <cell r="B94">
            <v>41395</v>
          </cell>
          <cell r="C94">
            <v>7168.5389826621595</v>
          </cell>
          <cell r="D94">
            <v>830.059201344298</v>
          </cell>
          <cell r="E94">
            <v>0</v>
          </cell>
          <cell r="F94">
            <v>830.059201344298</v>
          </cell>
          <cell r="G94">
            <v>770.3213764887801</v>
          </cell>
          <cell r="H94">
            <v>59.737824855518</v>
          </cell>
          <cell r="I94">
            <v>6398.217606173379</v>
          </cell>
          <cell r="J94">
            <v>19482.716908340037</v>
          </cell>
        </row>
        <row r="95">
          <cell r="A95">
            <v>77</v>
          </cell>
          <cell r="B95">
            <v>41426</v>
          </cell>
          <cell r="C95">
            <v>6398.217606173379</v>
          </cell>
          <cell r="D95">
            <v>830.059201344298</v>
          </cell>
          <cell r="E95">
            <v>0</v>
          </cell>
          <cell r="F95">
            <v>830.059201344298</v>
          </cell>
          <cell r="G95">
            <v>776.7407212928532</v>
          </cell>
          <cell r="H95">
            <v>53.31848005144483</v>
          </cell>
          <cell r="I95">
            <v>5621.476884880526</v>
          </cell>
          <cell r="J95">
            <v>19536.035388391483</v>
          </cell>
        </row>
        <row r="96">
          <cell r="A96">
            <v>78</v>
          </cell>
          <cell r="B96">
            <v>41456</v>
          </cell>
          <cell r="C96">
            <v>5621.476884880526</v>
          </cell>
          <cell r="D96">
            <v>830.059201344298</v>
          </cell>
          <cell r="E96">
            <v>0</v>
          </cell>
          <cell r="F96">
            <v>830.059201344298</v>
          </cell>
          <cell r="G96">
            <v>783.2135606369603</v>
          </cell>
          <cell r="H96">
            <v>46.845640707337715</v>
          </cell>
          <cell r="I96">
            <v>4838.263324243566</v>
          </cell>
          <cell r="J96">
            <v>19582.881029098822</v>
          </cell>
        </row>
        <row r="97">
          <cell r="A97">
            <v>79</v>
          </cell>
          <cell r="B97">
            <v>41487</v>
          </cell>
          <cell r="C97">
            <v>4838.263324243566</v>
          </cell>
          <cell r="D97">
            <v>830.059201344298</v>
          </cell>
          <cell r="E97">
            <v>0</v>
          </cell>
          <cell r="F97">
            <v>830.059201344298</v>
          </cell>
          <cell r="G97">
            <v>789.740340308935</v>
          </cell>
          <cell r="H97">
            <v>40.31886103536305</v>
          </cell>
          <cell r="I97">
            <v>4048.522983934631</v>
          </cell>
          <cell r="J97">
            <v>19623.199890134187</v>
          </cell>
        </row>
        <row r="98">
          <cell r="A98">
            <v>80</v>
          </cell>
          <cell r="B98">
            <v>41518</v>
          </cell>
          <cell r="C98">
            <v>4048.522983934631</v>
          </cell>
          <cell r="D98">
            <v>830.059201344298</v>
          </cell>
          <cell r="E98">
            <v>0</v>
          </cell>
          <cell r="F98">
            <v>830.059201344298</v>
          </cell>
          <cell r="G98">
            <v>796.3215098115094</v>
          </cell>
          <cell r="H98">
            <v>33.737691532788595</v>
          </cell>
          <cell r="I98">
            <v>3252.201474123122</v>
          </cell>
          <cell r="J98">
            <v>19656.937581666974</v>
          </cell>
        </row>
        <row r="99">
          <cell r="A99">
            <v>81</v>
          </cell>
          <cell r="B99">
            <v>41548</v>
          </cell>
          <cell r="C99">
            <v>3252.201474123122</v>
          </cell>
          <cell r="D99">
            <v>830.059201344298</v>
          </cell>
          <cell r="E99">
            <v>0</v>
          </cell>
          <cell r="F99">
            <v>830.059201344298</v>
          </cell>
          <cell r="G99">
            <v>802.957522393272</v>
          </cell>
          <cell r="H99">
            <v>27.101678951026017</v>
          </cell>
          <cell r="I99">
            <v>2449.24395172985</v>
          </cell>
          <cell r="J99">
            <v>19684.039260618</v>
          </cell>
        </row>
        <row r="100">
          <cell r="A100">
            <v>82</v>
          </cell>
          <cell r="B100">
            <v>41579</v>
          </cell>
          <cell r="C100">
            <v>2449.24395172985</v>
          </cell>
          <cell r="D100">
            <v>830.059201344298</v>
          </cell>
          <cell r="E100">
            <v>0</v>
          </cell>
          <cell r="F100">
            <v>830.059201344298</v>
          </cell>
          <cell r="G100">
            <v>809.6488350798826</v>
          </cell>
          <cell r="H100">
            <v>20.410366264415416</v>
          </cell>
          <cell r="I100">
            <v>1639.5951166499672</v>
          </cell>
          <cell r="J100">
            <v>19704.449626882415</v>
          </cell>
        </row>
        <row r="101">
          <cell r="A101">
            <v>83</v>
          </cell>
          <cell r="B101">
            <v>41609</v>
          </cell>
          <cell r="C101">
            <v>1639.5951166499672</v>
          </cell>
          <cell r="D101">
            <v>830.059201344298</v>
          </cell>
          <cell r="E101">
            <v>0</v>
          </cell>
          <cell r="F101">
            <v>830.059201344298</v>
          </cell>
          <cell r="G101">
            <v>816.3959087055483</v>
          </cell>
          <cell r="H101">
            <v>13.663292638749729</v>
          </cell>
          <cell r="I101">
            <v>823.1992079444188</v>
          </cell>
          <cell r="J101">
            <v>19718.112919521165</v>
          </cell>
        </row>
        <row r="102">
          <cell r="A102">
            <v>84</v>
          </cell>
          <cell r="B102">
            <v>41640</v>
          </cell>
          <cell r="C102">
            <v>823.1992079444188</v>
          </cell>
          <cell r="D102">
            <v>830.059201344298</v>
          </cell>
          <cell r="E102">
            <v>0</v>
          </cell>
          <cell r="F102">
            <v>823.1992079444188</v>
          </cell>
          <cell r="G102">
            <v>816.339214544882</v>
          </cell>
          <cell r="H102">
            <v>6.859993399536823</v>
          </cell>
          <cell r="I102">
            <v>0</v>
          </cell>
          <cell r="J102">
            <v>19724.9729129207</v>
          </cell>
        </row>
        <row r="103">
          <cell r="A103">
            <v>85</v>
          </cell>
          <cell r="B103">
            <v>41671</v>
          </cell>
          <cell r="C103">
            <v>0</v>
          </cell>
          <cell r="D103">
            <v>830.059201344298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19724.9729129207</v>
          </cell>
        </row>
        <row r="104">
          <cell r="A104">
            <v>86</v>
          </cell>
          <cell r="B104">
            <v>41699</v>
          </cell>
          <cell r="C104">
            <v>0</v>
          </cell>
          <cell r="D104">
            <v>830.059201344298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19724.9729129207</v>
          </cell>
        </row>
        <row r="105">
          <cell r="A105">
            <v>87</v>
          </cell>
          <cell r="B105">
            <v>41730</v>
          </cell>
          <cell r="C105">
            <v>0</v>
          </cell>
          <cell r="D105">
            <v>830.059201344298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19724.9729129207</v>
          </cell>
        </row>
        <row r="106">
          <cell r="A106">
            <v>88</v>
          </cell>
          <cell r="B106">
            <v>41760</v>
          </cell>
          <cell r="C106">
            <v>0</v>
          </cell>
          <cell r="D106">
            <v>830.059201344298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19724.9729129207</v>
          </cell>
        </row>
        <row r="107">
          <cell r="A107">
            <v>89</v>
          </cell>
          <cell r="B107">
            <v>41791</v>
          </cell>
          <cell r="C107">
            <v>0</v>
          </cell>
          <cell r="D107">
            <v>830.059201344298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19724.9729129207</v>
          </cell>
        </row>
        <row r="108">
          <cell r="A108">
            <v>90</v>
          </cell>
          <cell r="B108">
            <v>41821</v>
          </cell>
          <cell r="C108">
            <v>0</v>
          </cell>
          <cell r="D108">
            <v>830.059201344298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19724.9729129207</v>
          </cell>
        </row>
        <row r="109">
          <cell r="A109">
            <v>91</v>
          </cell>
          <cell r="B109">
            <v>41852</v>
          </cell>
          <cell r="C109">
            <v>0</v>
          </cell>
          <cell r="D109">
            <v>830.059201344298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19724.9729129207</v>
          </cell>
        </row>
        <row r="110">
          <cell r="A110">
            <v>92</v>
          </cell>
          <cell r="B110">
            <v>41883</v>
          </cell>
          <cell r="C110">
            <v>0</v>
          </cell>
          <cell r="D110">
            <v>830.059201344298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19724.9729129207</v>
          </cell>
        </row>
        <row r="111">
          <cell r="A111">
            <v>93</v>
          </cell>
          <cell r="B111">
            <v>41913</v>
          </cell>
          <cell r="C111">
            <v>0</v>
          </cell>
          <cell r="D111">
            <v>830.059201344298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19724.9729129207</v>
          </cell>
        </row>
        <row r="112">
          <cell r="A112">
            <v>94</v>
          </cell>
          <cell r="B112">
            <v>41944</v>
          </cell>
          <cell r="C112">
            <v>0</v>
          </cell>
          <cell r="D112">
            <v>830.059201344298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19724.9729129207</v>
          </cell>
        </row>
        <row r="113">
          <cell r="A113">
            <v>95</v>
          </cell>
          <cell r="B113">
            <v>41974</v>
          </cell>
          <cell r="C113">
            <v>0</v>
          </cell>
          <cell r="D113">
            <v>830.059201344298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19724.9729129207</v>
          </cell>
        </row>
        <row r="114">
          <cell r="A114">
            <v>96</v>
          </cell>
          <cell r="B114">
            <v>42005</v>
          </cell>
          <cell r="C114">
            <v>0</v>
          </cell>
          <cell r="D114">
            <v>830.059201344298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19724.9729129207</v>
          </cell>
        </row>
        <row r="115">
          <cell r="A115">
            <v>97</v>
          </cell>
          <cell r="B115">
            <v>42036</v>
          </cell>
          <cell r="C115">
            <v>0</v>
          </cell>
          <cell r="D115">
            <v>830.059201344298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19724.9729129207</v>
          </cell>
        </row>
        <row r="116">
          <cell r="A116">
            <v>98</v>
          </cell>
          <cell r="B116">
            <v>42064</v>
          </cell>
          <cell r="C116">
            <v>0</v>
          </cell>
          <cell r="D116">
            <v>830.059201344298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19724.9729129207</v>
          </cell>
        </row>
        <row r="117">
          <cell r="A117">
            <v>99</v>
          </cell>
          <cell r="B117">
            <v>42095</v>
          </cell>
          <cell r="C117">
            <v>0</v>
          </cell>
          <cell r="D117">
            <v>830.059201344298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19724.9729129207</v>
          </cell>
        </row>
        <row r="118">
          <cell r="A118">
            <v>100</v>
          </cell>
          <cell r="B118">
            <v>42125</v>
          </cell>
          <cell r="C118">
            <v>0</v>
          </cell>
          <cell r="D118">
            <v>830.059201344298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19724.9729129207</v>
          </cell>
        </row>
        <row r="119">
          <cell r="A119">
            <v>101</v>
          </cell>
          <cell r="B119">
            <v>42156</v>
          </cell>
          <cell r="C119">
            <v>0</v>
          </cell>
          <cell r="D119">
            <v>830.059201344298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19724.9729129207</v>
          </cell>
        </row>
        <row r="120">
          <cell r="A120">
            <v>102</v>
          </cell>
          <cell r="B120">
            <v>42186</v>
          </cell>
          <cell r="C120">
            <v>0</v>
          </cell>
          <cell r="D120">
            <v>830.059201344298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19724.9729129207</v>
          </cell>
        </row>
        <row r="121">
          <cell r="A121">
            <v>103</v>
          </cell>
          <cell r="B121">
            <v>42217</v>
          </cell>
          <cell r="C121">
            <v>0</v>
          </cell>
          <cell r="D121">
            <v>830.059201344298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19724.9729129207</v>
          </cell>
        </row>
        <row r="122">
          <cell r="A122">
            <v>104</v>
          </cell>
          <cell r="B122">
            <v>42248</v>
          </cell>
          <cell r="C122">
            <v>0</v>
          </cell>
          <cell r="D122">
            <v>830.059201344298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19724.9729129207</v>
          </cell>
        </row>
        <row r="123">
          <cell r="A123">
            <v>105</v>
          </cell>
          <cell r="B123">
            <v>42278</v>
          </cell>
          <cell r="C123">
            <v>0</v>
          </cell>
          <cell r="D123">
            <v>830.059201344298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19724.9729129207</v>
          </cell>
        </row>
        <row r="124">
          <cell r="A124">
            <v>106</v>
          </cell>
          <cell r="B124">
            <v>42309</v>
          </cell>
          <cell r="C124">
            <v>0</v>
          </cell>
          <cell r="D124">
            <v>830.059201344298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19724.9729129207</v>
          </cell>
        </row>
        <row r="125">
          <cell r="A125">
            <v>107</v>
          </cell>
          <cell r="B125">
            <v>42339</v>
          </cell>
          <cell r="C125">
            <v>0</v>
          </cell>
          <cell r="D125">
            <v>830.059201344298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19724.9729129207</v>
          </cell>
        </row>
        <row r="126">
          <cell r="A126">
            <v>108</v>
          </cell>
          <cell r="B126">
            <v>42370</v>
          </cell>
          <cell r="C126">
            <v>0</v>
          </cell>
          <cell r="D126">
            <v>830.059201344298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19724.9729129207</v>
          </cell>
        </row>
        <row r="127">
          <cell r="A127">
            <v>109</v>
          </cell>
          <cell r="B127">
            <v>42401</v>
          </cell>
          <cell r="C127">
            <v>0</v>
          </cell>
          <cell r="D127">
            <v>830.059201344298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19724.9729129207</v>
          </cell>
        </row>
        <row r="128">
          <cell r="A128">
            <v>110</v>
          </cell>
          <cell r="B128">
            <v>42430</v>
          </cell>
          <cell r="C128">
            <v>0</v>
          </cell>
          <cell r="D128">
            <v>830.059201344298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19724.9729129207</v>
          </cell>
        </row>
        <row r="129">
          <cell r="A129">
            <v>111</v>
          </cell>
          <cell r="B129">
            <v>42461</v>
          </cell>
          <cell r="C129">
            <v>0</v>
          </cell>
          <cell r="D129">
            <v>830.059201344298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19724.9729129207</v>
          </cell>
        </row>
        <row r="130">
          <cell r="A130">
            <v>112</v>
          </cell>
          <cell r="B130">
            <v>42491</v>
          </cell>
          <cell r="C130">
            <v>0</v>
          </cell>
          <cell r="D130">
            <v>830.059201344298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19724.9729129207</v>
          </cell>
        </row>
        <row r="131">
          <cell r="A131">
            <v>113</v>
          </cell>
          <cell r="B131">
            <v>42522</v>
          </cell>
          <cell r="C131">
            <v>0</v>
          </cell>
          <cell r="D131">
            <v>830.059201344298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19724.9729129207</v>
          </cell>
        </row>
        <row r="132">
          <cell r="A132">
            <v>114</v>
          </cell>
          <cell r="B132">
            <v>42552</v>
          </cell>
          <cell r="C132">
            <v>0</v>
          </cell>
          <cell r="D132">
            <v>830.059201344298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19724.9729129207</v>
          </cell>
        </row>
        <row r="133">
          <cell r="A133">
            <v>115</v>
          </cell>
          <cell r="B133">
            <v>42583</v>
          </cell>
          <cell r="C133">
            <v>0</v>
          </cell>
          <cell r="D133">
            <v>830.059201344298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19724.9729129207</v>
          </cell>
        </row>
        <row r="134">
          <cell r="A134">
            <v>116</v>
          </cell>
          <cell r="B134">
            <v>42614</v>
          </cell>
          <cell r="C134">
            <v>0</v>
          </cell>
          <cell r="D134">
            <v>830.059201344298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19724.9729129207</v>
          </cell>
        </row>
        <row r="135">
          <cell r="A135">
            <v>117</v>
          </cell>
          <cell r="B135">
            <v>42644</v>
          </cell>
          <cell r="C135">
            <v>0</v>
          </cell>
          <cell r="D135">
            <v>830.059201344298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19724.9729129207</v>
          </cell>
        </row>
        <row r="136">
          <cell r="A136">
            <v>118</v>
          </cell>
          <cell r="B136">
            <v>42675</v>
          </cell>
          <cell r="C136">
            <v>0</v>
          </cell>
          <cell r="D136">
            <v>830.059201344298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19724.9729129207</v>
          </cell>
        </row>
        <row r="137">
          <cell r="A137">
            <v>119</v>
          </cell>
          <cell r="B137">
            <v>42705</v>
          </cell>
          <cell r="C137">
            <v>0</v>
          </cell>
          <cell r="D137">
            <v>830.059201344298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19724.9729129207</v>
          </cell>
        </row>
        <row r="138">
          <cell r="A138">
            <v>120</v>
          </cell>
          <cell r="B138">
            <v>42736</v>
          </cell>
          <cell r="C138">
            <v>0</v>
          </cell>
          <cell r="D138">
            <v>830.059201344298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19724.9729129207</v>
          </cell>
        </row>
        <row r="139">
          <cell r="A139">
            <v>121</v>
          </cell>
          <cell r="B139">
            <v>42767</v>
          </cell>
          <cell r="C139">
            <v>0</v>
          </cell>
          <cell r="D139">
            <v>830.059201344298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19724.9729129207</v>
          </cell>
        </row>
        <row r="140">
          <cell r="A140">
            <v>122</v>
          </cell>
          <cell r="B140">
            <v>42795</v>
          </cell>
          <cell r="C140">
            <v>0</v>
          </cell>
          <cell r="D140">
            <v>830.059201344298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19724.9729129207</v>
          </cell>
        </row>
        <row r="141">
          <cell r="A141">
            <v>123</v>
          </cell>
          <cell r="B141">
            <v>42826</v>
          </cell>
          <cell r="C141">
            <v>0</v>
          </cell>
          <cell r="D141">
            <v>830.059201344298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19724.9729129207</v>
          </cell>
        </row>
        <row r="142">
          <cell r="A142">
            <v>124</v>
          </cell>
          <cell r="B142">
            <v>42856</v>
          </cell>
          <cell r="C142">
            <v>0</v>
          </cell>
          <cell r="D142">
            <v>830.059201344298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19724.9729129207</v>
          </cell>
        </row>
        <row r="143">
          <cell r="A143">
            <v>125</v>
          </cell>
          <cell r="B143">
            <v>42887</v>
          </cell>
          <cell r="C143">
            <v>0</v>
          </cell>
          <cell r="D143">
            <v>830.059201344298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19724.9729129207</v>
          </cell>
        </row>
        <row r="144">
          <cell r="A144">
            <v>126</v>
          </cell>
          <cell r="B144">
            <v>42917</v>
          </cell>
          <cell r="C144">
            <v>0</v>
          </cell>
          <cell r="D144">
            <v>830.059201344298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19724.9729129207</v>
          </cell>
        </row>
        <row r="145">
          <cell r="A145">
            <v>127</v>
          </cell>
          <cell r="B145">
            <v>42948</v>
          </cell>
          <cell r="C145">
            <v>0</v>
          </cell>
          <cell r="D145">
            <v>830.059201344298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19724.9729129207</v>
          </cell>
        </row>
        <row r="146">
          <cell r="A146">
            <v>128</v>
          </cell>
          <cell r="B146">
            <v>42979</v>
          </cell>
          <cell r="C146">
            <v>0</v>
          </cell>
          <cell r="D146">
            <v>830.059201344298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19724.9729129207</v>
          </cell>
        </row>
        <row r="147">
          <cell r="A147">
            <v>129</v>
          </cell>
          <cell r="B147">
            <v>43009</v>
          </cell>
          <cell r="C147">
            <v>0</v>
          </cell>
          <cell r="D147">
            <v>830.059201344298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19724.9729129207</v>
          </cell>
        </row>
        <row r="148">
          <cell r="A148">
            <v>130</v>
          </cell>
          <cell r="B148">
            <v>43040</v>
          </cell>
          <cell r="C148">
            <v>0</v>
          </cell>
          <cell r="D148">
            <v>830.059201344298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19724.9729129207</v>
          </cell>
        </row>
        <row r="149">
          <cell r="A149">
            <v>131</v>
          </cell>
          <cell r="B149">
            <v>43070</v>
          </cell>
          <cell r="C149">
            <v>0</v>
          </cell>
          <cell r="D149">
            <v>830.059201344298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19724.9729129207</v>
          </cell>
        </row>
        <row r="150">
          <cell r="A150">
            <v>132</v>
          </cell>
          <cell r="B150">
            <v>43101</v>
          </cell>
          <cell r="C150">
            <v>0</v>
          </cell>
          <cell r="D150">
            <v>830.059201344298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19724.9729129207</v>
          </cell>
        </row>
        <row r="151">
          <cell r="A151">
            <v>133</v>
          </cell>
          <cell r="B151">
            <v>43132</v>
          </cell>
          <cell r="C151">
            <v>0</v>
          </cell>
          <cell r="D151">
            <v>830.059201344298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19724.9729129207</v>
          </cell>
        </row>
        <row r="152">
          <cell r="A152">
            <v>134</v>
          </cell>
          <cell r="B152">
            <v>43160</v>
          </cell>
          <cell r="C152">
            <v>0</v>
          </cell>
          <cell r="D152">
            <v>830.059201344298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19724.9729129207</v>
          </cell>
        </row>
        <row r="153">
          <cell r="A153">
            <v>135</v>
          </cell>
          <cell r="B153">
            <v>43191</v>
          </cell>
          <cell r="C153">
            <v>0</v>
          </cell>
          <cell r="D153">
            <v>830.059201344298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19724.9729129207</v>
          </cell>
        </row>
        <row r="154">
          <cell r="A154">
            <v>136</v>
          </cell>
          <cell r="B154">
            <v>43221</v>
          </cell>
          <cell r="C154">
            <v>0</v>
          </cell>
          <cell r="D154">
            <v>830.059201344298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19724.9729129207</v>
          </cell>
        </row>
        <row r="155">
          <cell r="A155">
            <v>137</v>
          </cell>
          <cell r="B155">
            <v>43252</v>
          </cell>
          <cell r="C155">
            <v>0</v>
          </cell>
          <cell r="D155">
            <v>830.059201344298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19724.9729129207</v>
          </cell>
        </row>
        <row r="156">
          <cell r="A156">
            <v>138</v>
          </cell>
          <cell r="B156">
            <v>43282</v>
          </cell>
          <cell r="C156">
            <v>0</v>
          </cell>
          <cell r="D156">
            <v>830.059201344298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19724.9729129207</v>
          </cell>
        </row>
        <row r="157">
          <cell r="A157">
            <v>139</v>
          </cell>
          <cell r="B157">
            <v>43313</v>
          </cell>
          <cell r="C157">
            <v>0</v>
          </cell>
          <cell r="D157">
            <v>830.059201344298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19724.9729129207</v>
          </cell>
        </row>
        <row r="158">
          <cell r="A158">
            <v>140</v>
          </cell>
          <cell r="B158">
            <v>43344</v>
          </cell>
          <cell r="C158">
            <v>0</v>
          </cell>
          <cell r="D158">
            <v>830.059201344298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19724.9729129207</v>
          </cell>
        </row>
        <row r="159">
          <cell r="A159">
            <v>141</v>
          </cell>
          <cell r="B159">
            <v>43374</v>
          </cell>
          <cell r="C159">
            <v>0</v>
          </cell>
          <cell r="D159">
            <v>830.059201344298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19724.9729129207</v>
          </cell>
        </row>
        <row r="160">
          <cell r="A160">
            <v>142</v>
          </cell>
          <cell r="B160">
            <v>43405</v>
          </cell>
          <cell r="C160">
            <v>0</v>
          </cell>
          <cell r="D160">
            <v>830.059201344298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19724.9729129207</v>
          </cell>
        </row>
        <row r="161">
          <cell r="A161">
            <v>143</v>
          </cell>
          <cell r="B161">
            <v>43435</v>
          </cell>
          <cell r="C161">
            <v>0</v>
          </cell>
          <cell r="D161">
            <v>830.059201344298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19724.9729129207</v>
          </cell>
        </row>
        <row r="162">
          <cell r="A162">
            <v>144</v>
          </cell>
          <cell r="B162">
            <v>43466</v>
          </cell>
          <cell r="C162">
            <v>0</v>
          </cell>
          <cell r="D162">
            <v>830.059201344298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19724.9729129207</v>
          </cell>
        </row>
        <row r="163">
          <cell r="A163">
            <v>145</v>
          </cell>
          <cell r="B163">
            <v>43497</v>
          </cell>
          <cell r="C163">
            <v>0</v>
          </cell>
          <cell r="D163">
            <v>830.059201344298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19724.9729129207</v>
          </cell>
        </row>
        <row r="164">
          <cell r="A164">
            <v>146</v>
          </cell>
          <cell r="B164">
            <v>43525</v>
          </cell>
          <cell r="C164">
            <v>0</v>
          </cell>
          <cell r="D164">
            <v>830.059201344298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19724.9729129207</v>
          </cell>
        </row>
        <row r="165">
          <cell r="A165">
            <v>147</v>
          </cell>
          <cell r="B165">
            <v>43556</v>
          </cell>
          <cell r="C165">
            <v>0</v>
          </cell>
          <cell r="D165">
            <v>830.059201344298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19724.9729129207</v>
          </cell>
        </row>
        <row r="166">
          <cell r="A166">
            <v>148</v>
          </cell>
          <cell r="B166">
            <v>43586</v>
          </cell>
          <cell r="C166">
            <v>0</v>
          </cell>
          <cell r="D166">
            <v>830.059201344298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19724.9729129207</v>
          </cell>
        </row>
        <row r="167">
          <cell r="A167">
            <v>149</v>
          </cell>
          <cell r="B167">
            <v>43617</v>
          </cell>
          <cell r="C167">
            <v>0</v>
          </cell>
          <cell r="D167">
            <v>830.059201344298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19724.9729129207</v>
          </cell>
        </row>
        <row r="168">
          <cell r="A168">
            <v>150</v>
          </cell>
          <cell r="B168">
            <v>43647</v>
          </cell>
          <cell r="C168">
            <v>0</v>
          </cell>
          <cell r="D168">
            <v>830.059201344298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19724.9729129207</v>
          </cell>
        </row>
        <row r="169">
          <cell r="A169">
            <v>151</v>
          </cell>
          <cell r="B169">
            <v>43678</v>
          </cell>
          <cell r="C169">
            <v>0</v>
          </cell>
          <cell r="D169">
            <v>830.059201344298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19724.9729129207</v>
          </cell>
        </row>
        <row r="170">
          <cell r="A170">
            <v>152</v>
          </cell>
          <cell r="B170">
            <v>43709</v>
          </cell>
          <cell r="C170">
            <v>0</v>
          </cell>
          <cell r="D170">
            <v>830.059201344298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19724.9729129207</v>
          </cell>
        </row>
        <row r="171">
          <cell r="A171">
            <v>153</v>
          </cell>
          <cell r="B171">
            <v>43739</v>
          </cell>
          <cell r="C171">
            <v>0</v>
          </cell>
          <cell r="D171">
            <v>830.059201344298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19724.9729129207</v>
          </cell>
        </row>
        <row r="172">
          <cell r="A172">
            <v>154</v>
          </cell>
          <cell r="B172">
            <v>43770</v>
          </cell>
          <cell r="C172">
            <v>0</v>
          </cell>
          <cell r="D172">
            <v>830.059201344298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19724.9729129207</v>
          </cell>
        </row>
        <row r="173">
          <cell r="A173">
            <v>155</v>
          </cell>
          <cell r="B173">
            <v>43800</v>
          </cell>
          <cell r="C173">
            <v>0</v>
          </cell>
          <cell r="D173">
            <v>830.059201344298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19724.9729129207</v>
          </cell>
        </row>
        <row r="174">
          <cell r="A174">
            <v>156</v>
          </cell>
          <cell r="B174">
            <v>43831</v>
          </cell>
          <cell r="C174">
            <v>0</v>
          </cell>
          <cell r="D174">
            <v>830.059201344298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19724.9729129207</v>
          </cell>
        </row>
        <row r="175">
          <cell r="A175">
            <v>157</v>
          </cell>
          <cell r="B175">
            <v>43862</v>
          </cell>
          <cell r="C175">
            <v>0</v>
          </cell>
          <cell r="D175">
            <v>830.059201344298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19724.9729129207</v>
          </cell>
        </row>
        <row r="176">
          <cell r="A176">
            <v>158</v>
          </cell>
          <cell r="B176">
            <v>43891</v>
          </cell>
          <cell r="C176">
            <v>0</v>
          </cell>
          <cell r="D176">
            <v>830.059201344298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19724.9729129207</v>
          </cell>
        </row>
        <row r="177">
          <cell r="A177">
            <v>159</v>
          </cell>
          <cell r="B177">
            <v>43922</v>
          </cell>
          <cell r="C177">
            <v>0</v>
          </cell>
          <cell r="D177">
            <v>830.059201344298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19724.9729129207</v>
          </cell>
        </row>
        <row r="178">
          <cell r="A178">
            <v>160</v>
          </cell>
          <cell r="B178">
            <v>43952</v>
          </cell>
          <cell r="C178">
            <v>0</v>
          </cell>
          <cell r="D178">
            <v>830.059201344298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19724.9729129207</v>
          </cell>
        </row>
        <row r="179">
          <cell r="A179">
            <v>161</v>
          </cell>
          <cell r="B179">
            <v>43983</v>
          </cell>
          <cell r="C179">
            <v>0</v>
          </cell>
          <cell r="D179">
            <v>830.059201344298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19724.9729129207</v>
          </cell>
        </row>
        <row r="180">
          <cell r="A180">
            <v>162</v>
          </cell>
          <cell r="B180">
            <v>44013</v>
          </cell>
          <cell r="C180">
            <v>0</v>
          </cell>
          <cell r="D180">
            <v>830.059201344298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19724.9729129207</v>
          </cell>
        </row>
        <row r="181">
          <cell r="A181">
            <v>163</v>
          </cell>
          <cell r="B181">
            <v>44044</v>
          </cell>
          <cell r="C181">
            <v>0</v>
          </cell>
          <cell r="D181">
            <v>830.059201344298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19724.9729129207</v>
          </cell>
        </row>
        <row r="182">
          <cell r="A182">
            <v>164</v>
          </cell>
          <cell r="B182">
            <v>44075</v>
          </cell>
          <cell r="C182">
            <v>0</v>
          </cell>
          <cell r="D182">
            <v>830.059201344298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19724.9729129207</v>
          </cell>
        </row>
        <row r="183">
          <cell r="A183">
            <v>165</v>
          </cell>
          <cell r="B183">
            <v>44105</v>
          </cell>
          <cell r="C183">
            <v>0</v>
          </cell>
          <cell r="D183">
            <v>830.059201344298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19724.9729129207</v>
          </cell>
        </row>
        <row r="184">
          <cell r="A184">
            <v>166</v>
          </cell>
          <cell r="B184">
            <v>44136</v>
          </cell>
          <cell r="C184">
            <v>0</v>
          </cell>
          <cell r="D184">
            <v>830.059201344298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19724.9729129207</v>
          </cell>
        </row>
        <row r="185">
          <cell r="A185">
            <v>167</v>
          </cell>
          <cell r="B185">
            <v>44166</v>
          </cell>
          <cell r="C185">
            <v>0</v>
          </cell>
          <cell r="D185">
            <v>830.059201344298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19724.9729129207</v>
          </cell>
        </row>
        <row r="186">
          <cell r="A186">
            <v>168</v>
          </cell>
          <cell r="B186">
            <v>44197</v>
          </cell>
          <cell r="C186">
            <v>0</v>
          </cell>
          <cell r="D186">
            <v>830.059201344298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19724.9729129207</v>
          </cell>
        </row>
        <row r="187">
          <cell r="A187">
            <v>169</v>
          </cell>
          <cell r="B187">
            <v>44228</v>
          </cell>
          <cell r="C187">
            <v>0</v>
          </cell>
          <cell r="D187">
            <v>830.059201344298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19724.9729129207</v>
          </cell>
        </row>
        <row r="188">
          <cell r="A188">
            <v>170</v>
          </cell>
          <cell r="B188">
            <v>44256</v>
          </cell>
          <cell r="C188">
            <v>0</v>
          </cell>
          <cell r="D188">
            <v>830.059201344298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19724.9729129207</v>
          </cell>
        </row>
        <row r="189">
          <cell r="A189">
            <v>171</v>
          </cell>
          <cell r="B189">
            <v>44287</v>
          </cell>
          <cell r="C189">
            <v>0</v>
          </cell>
          <cell r="D189">
            <v>830.059201344298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19724.9729129207</v>
          </cell>
        </row>
        <row r="190">
          <cell r="A190">
            <v>172</v>
          </cell>
          <cell r="B190">
            <v>44317</v>
          </cell>
          <cell r="C190">
            <v>0</v>
          </cell>
          <cell r="D190">
            <v>830.059201344298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19724.9729129207</v>
          </cell>
        </row>
        <row r="191">
          <cell r="A191">
            <v>173</v>
          </cell>
          <cell r="B191">
            <v>44348</v>
          </cell>
          <cell r="C191">
            <v>0</v>
          </cell>
          <cell r="D191">
            <v>830.059201344298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19724.9729129207</v>
          </cell>
        </row>
        <row r="192">
          <cell r="A192">
            <v>174</v>
          </cell>
          <cell r="B192">
            <v>44378</v>
          </cell>
          <cell r="C192">
            <v>0</v>
          </cell>
          <cell r="D192">
            <v>830.059201344298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19724.9729129207</v>
          </cell>
        </row>
        <row r="193">
          <cell r="A193">
            <v>175</v>
          </cell>
          <cell r="B193">
            <v>44409</v>
          </cell>
          <cell r="C193">
            <v>0</v>
          </cell>
          <cell r="D193">
            <v>830.059201344298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19724.9729129207</v>
          </cell>
        </row>
        <row r="194">
          <cell r="A194">
            <v>176</v>
          </cell>
          <cell r="B194">
            <v>44440</v>
          </cell>
          <cell r="C194">
            <v>0</v>
          </cell>
          <cell r="D194">
            <v>830.059201344298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19724.9729129207</v>
          </cell>
        </row>
        <row r="195">
          <cell r="A195">
            <v>177</v>
          </cell>
          <cell r="B195">
            <v>44470</v>
          </cell>
          <cell r="C195">
            <v>0</v>
          </cell>
          <cell r="D195">
            <v>830.059201344298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19724.9729129207</v>
          </cell>
        </row>
        <row r="196">
          <cell r="A196">
            <v>178</v>
          </cell>
          <cell r="B196">
            <v>44501</v>
          </cell>
          <cell r="C196">
            <v>0</v>
          </cell>
          <cell r="D196">
            <v>830.059201344298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19724.9729129207</v>
          </cell>
        </row>
        <row r="197">
          <cell r="A197">
            <v>179</v>
          </cell>
          <cell r="B197">
            <v>44531</v>
          </cell>
          <cell r="C197">
            <v>0</v>
          </cell>
          <cell r="D197">
            <v>830.059201344298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19724.9729129207</v>
          </cell>
        </row>
        <row r="198">
          <cell r="A198">
            <v>180</v>
          </cell>
          <cell r="B198">
            <v>44562</v>
          </cell>
          <cell r="C198">
            <v>0</v>
          </cell>
          <cell r="D198">
            <v>830.059201344298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19724.9729129207</v>
          </cell>
        </row>
        <row r="199">
          <cell r="A199">
            <v>181</v>
          </cell>
          <cell r="B199">
            <v>44593</v>
          </cell>
          <cell r="C199">
            <v>0</v>
          </cell>
          <cell r="D199">
            <v>830.059201344298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19724.9729129207</v>
          </cell>
        </row>
        <row r="200">
          <cell r="A200">
            <v>182</v>
          </cell>
          <cell r="B200">
            <v>44621</v>
          </cell>
          <cell r="C200">
            <v>0</v>
          </cell>
          <cell r="D200">
            <v>830.059201344298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19724.9729129207</v>
          </cell>
        </row>
        <row r="201">
          <cell r="A201">
            <v>183</v>
          </cell>
          <cell r="B201">
            <v>44652</v>
          </cell>
          <cell r="C201">
            <v>0</v>
          </cell>
          <cell r="D201">
            <v>830.059201344298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19724.9729129207</v>
          </cell>
        </row>
        <row r="202">
          <cell r="A202">
            <v>184</v>
          </cell>
          <cell r="B202">
            <v>44682</v>
          </cell>
          <cell r="C202">
            <v>0</v>
          </cell>
          <cell r="D202">
            <v>830.059201344298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19724.9729129207</v>
          </cell>
        </row>
        <row r="203">
          <cell r="A203">
            <v>185</v>
          </cell>
          <cell r="B203">
            <v>44713</v>
          </cell>
          <cell r="C203">
            <v>0</v>
          </cell>
          <cell r="D203">
            <v>830.059201344298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19724.9729129207</v>
          </cell>
        </row>
        <row r="204">
          <cell r="A204">
            <v>186</v>
          </cell>
          <cell r="B204">
            <v>44743</v>
          </cell>
          <cell r="C204">
            <v>0</v>
          </cell>
          <cell r="D204">
            <v>830.059201344298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19724.9729129207</v>
          </cell>
        </row>
        <row r="205">
          <cell r="A205">
            <v>187</v>
          </cell>
          <cell r="B205">
            <v>44774</v>
          </cell>
          <cell r="C205">
            <v>0</v>
          </cell>
          <cell r="D205">
            <v>830.059201344298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19724.9729129207</v>
          </cell>
        </row>
        <row r="206">
          <cell r="A206">
            <v>188</v>
          </cell>
          <cell r="B206">
            <v>44805</v>
          </cell>
          <cell r="C206">
            <v>0</v>
          </cell>
          <cell r="D206">
            <v>830.059201344298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19724.9729129207</v>
          </cell>
        </row>
        <row r="207">
          <cell r="A207">
            <v>189</v>
          </cell>
          <cell r="B207">
            <v>44835</v>
          </cell>
          <cell r="C207">
            <v>0</v>
          </cell>
          <cell r="D207">
            <v>830.059201344298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19724.9729129207</v>
          </cell>
        </row>
        <row r="208">
          <cell r="A208">
            <v>190</v>
          </cell>
          <cell r="B208">
            <v>44866</v>
          </cell>
          <cell r="C208">
            <v>0</v>
          </cell>
          <cell r="D208">
            <v>830.059201344298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19724.9729129207</v>
          </cell>
        </row>
        <row r="209">
          <cell r="A209">
            <v>191</v>
          </cell>
          <cell r="B209">
            <v>44896</v>
          </cell>
          <cell r="C209">
            <v>0</v>
          </cell>
          <cell r="D209">
            <v>830.059201344298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19724.9729129207</v>
          </cell>
        </row>
        <row r="210">
          <cell r="A210">
            <v>192</v>
          </cell>
          <cell r="B210">
            <v>44927</v>
          </cell>
          <cell r="C210">
            <v>0</v>
          </cell>
          <cell r="D210">
            <v>830.059201344298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19724.9729129207</v>
          </cell>
        </row>
        <row r="211">
          <cell r="A211">
            <v>193</v>
          </cell>
          <cell r="B211">
            <v>44958</v>
          </cell>
          <cell r="C211">
            <v>0</v>
          </cell>
          <cell r="D211">
            <v>830.059201344298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19724.9729129207</v>
          </cell>
        </row>
        <row r="212">
          <cell r="A212">
            <v>194</v>
          </cell>
          <cell r="B212">
            <v>44986</v>
          </cell>
          <cell r="C212">
            <v>0</v>
          </cell>
          <cell r="D212">
            <v>830.059201344298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19724.9729129207</v>
          </cell>
        </row>
        <row r="213">
          <cell r="A213">
            <v>195</v>
          </cell>
          <cell r="B213">
            <v>45017</v>
          </cell>
          <cell r="C213">
            <v>0</v>
          </cell>
          <cell r="D213">
            <v>830.059201344298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19724.9729129207</v>
          </cell>
        </row>
        <row r="214">
          <cell r="A214">
            <v>196</v>
          </cell>
          <cell r="B214">
            <v>45047</v>
          </cell>
          <cell r="C214">
            <v>0</v>
          </cell>
          <cell r="D214">
            <v>830.059201344298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19724.9729129207</v>
          </cell>
        </row>
        <row r="215">
          <cell r="A215">
            <v>197</v>
          </cell>
          <cell r="B215">
            <v>45078</v>
          </cell>
          <cell r="C215">
            <v>0</v>
          </cell>
          <cell r="D215">
            <v>830.059201344298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19724.9729129207</v>
          </cell>
        </row>
        <row r="216">
          <cell r="A216">
            <v>198</v>
          </cell>
          <cell r="B216">
            <v>45108</v>
          </cell>
          <cell r="C216">
            <v>0</v>
          </cell>
          <cell r="D216">
            <v>830.059201344298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19724.9729129207</v>
          </cell>
        </row>
        <row r="217">
          <cell r="A217">
            <v>199</v>
          </cell>
          <cell r="B217">
            <v>45139</v>
          </cell>
          <cell r="C217">
            <v>0</v>
          </cell>
          <cell r="D217">
            <v>830.059201344298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19724.9729129207</v>
          </cell>
        </row>
        <row r="218">
          <cell r="A218">
            <v>200</v>
          </cell>
          <cell r="B218">
            <v>45170</v>
          </cell>
          <cell r="C218">
            <v>0</v>
          </cell>
          <cell r="D218">
            <v>830.059201344298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19724.9729129207</v>
          </cell>
        </row>
        <row r="219">
          <cell r="A219">
            <v>201</v>
          </cell>
          <cell r="B219">
            <v>45200</v>
          </cell>
          <cell r="C219">
            <v>0</v>
          </cell>
          <cell r="D219">
            <v>830.059201344298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19724.9729129207</v>
          </cell>
        </row>
        <row r="220">
          <cell r="A220">
            <v>202</v>
          </cell>
          <cell r="B220">
            <v>45231</v>
          </cell>
          <cell r="C220">
            <v>0</v>
          </cell>
          <cell r="D220">
            <v>830.059201344298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19724.9729129207</v>
          </cell>
        </row>
        <row r="221">
          <cell r="A221">
            <v>203</v>
          </cell>
          <cell r="B221">
            <v>45261</v>
          </cell>
          <cell r="C221">
            <v>0</v>
          </cell>
          <cell r="D221">
            <v>830.059201344298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19724.9729129207</v>
          </cell>
        </row>
        <row r="222">
          <cell r="A222">
            <v>204</v>
          </cell>
          <cell r="B222">
            <v>45292</v>
          </cell>
          <cell r="C222">
            <v>0</v>
          </cell>
          <cell r="D222">
            <v>830.059201344298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19724.9729129207</v>
          </cell>
        </row>
        <row r="223">
          <cell r="A223">
            <v>205</v>
          </cell>
          <cell r="B223">
            <v>45323</v>
          </cell>
          <cell r="C223">
            <v>0</v>
          </cell>
          <cell r="D223">
            <v>830.059201344298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19724.9729129207</v>
          </cell>
        </row>
        <row r="224">
          <cell r="A224">
            <v>206</v>
          </cell>
          <cell r="B224">
            <v>45352</v>
          </cell>
          <cell r="C224">
            <v>0</v>
          </cell>
          <cell r="D224">
            <v>830.059201344298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19724.9729129207</v>
          </cell>
        </row>
        <row r="225">
          <cell r="A225">
            <v>207</v>
          </cell>
          <cell r="B225">
            <v>45383</v>
          </cell>
          <cell r="C225">
            <v>0</v>
          </cell>
          <cell r="D225">
            <v>830.059201344298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19724.9729129207</v>
          </cell>
        </row>
        <row r="226">
          <cell r="A226">
            <v>208</v>
          </cell>
          <cell r="B226">
            <v>45413</v>
          </cell>
          <cell r="C226">
            <v>0</v>
          </cell>
          <cell r="D226">
            <v>830.059201344298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19724.9729129207</v>
          </cell>
        </row>
        <row r="227">
          <cell r="A227">
            <v>209</v>
          </cell>
          <cell r="B227">
            <v>45444</v>
          </cell>
          <cell r="C227">
            <v>0</v>
          </cell>
          <cell r="D227">
            <v>830.059201344298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19724.9729129207</v>
          </cell>
        </row>
        <row r="228">
          <cell r="A228">
            <v>210</v>
          </cell>
          <cell r="B228">
            <v>45474</v>
          </cell>
          <cell r="C228">
            <v>0</v>
          </cell>
          <cell r="D228">
            <v>830.059201344298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19724.9729129207</v>
          </cell>
        </row>
        <row r="229">
          <cell r="A229">
            <v>211</v>
          </cell>
          <cell r="B229">
            <v>45505</v>
          </cell>
          <cell r="C229">
            <v>0</v>
          </cell>
          <cell r="D229">
            <v>830.059201344298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19724.9729129207</v>
          </cell>
        </row>
        <row r="230">
          <cell r="A230">
            <v>212</v>
          </cell>
          <cell r="B230">
            <v>45536</v>
          </cell>
          <cell r="C230">
            <v>0</v>
          </cell>
          <cell r="D230">
            <v>830.059201344298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19724.9729129207</v>
          </cell>
        </row>
        <row r="231">
          <cell r="A231">
            <v>213</v>
          </cell>
          <cell r="B231">
            <v>45566</v>
          </cell>
          <cell r="C231">
            <v>0</v>
          </cell>
          <cell r="D231">
            <v>830.059201344298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19724.9729129207</v>
          </cell>
        </row>
        <row r="232">
          <cell r="A232">
            <v>214</v>
          </cell>
          <cell r="B232">
            <v>45597</v>
          </cell>
          <cell r="C232">
            <v>0</v>
          </cell>
          <cell r="D232">
            <v>830.059201344298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19724.9729129207</v>
          </cell>
        </row>
        <row r="233">
          <cell r="A233">
            <v>215</v>
          </cell>
          <cell r="B233">
            <v>45627</v>
          </cell>
          <cell r="C233">
            <v>0</v>
          </cell>
          <cell r="D233">
            <v>830.059201344298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19724.9729129207</v>
          </cell>
        </row>
        <row r="234">
          <cell r="A234">
            <v>216</v>
          </cell>
          <cell r="B234">
            <v>45658</v>
          </cell>
          <cell r="C234">
            <v>0</v>
          </cell>
          <cell r="D234">
            <v>830.059201344298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19724.9729129207</v>
          </cell>
        </row>
        <row r="235">
          <cell r="A235">
            <v>217</v>
          </cell>
          <cell r="B235">
            <v>45689</v>
          </cell>
          <cell r="C235">
            <v>0</v>
          </cell>
          <cell r="D235">
            <v>830.059201344298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19724.9729129207</v>
          </cell>
        </row>
        <row r="236">
          <cell r="A236">
            <v>218</v>
          </cell>
          <cell r="B236">
            <v>45717</v>
          </cell>
          <cell r="C236">
            <v>0</v>
          </cell>
          <cell r="D236">
            <v>830.059201344298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19724.9729129207</v>
          </cell>
        </row>
        <row r="237">
          <cell r="A237">
            <v>219</v>
          </cell>
          <cell r="B237">
            <v>45748</v>
          </cell>
          <cell r="C237">
            <v>0</v>
          </cell>
          <cell r="D237">
            <v>830.059201344298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19724.9729129207</v>
          </cell>
        </row>
        <row r="238">
          <cell r="A238">
            <v>220</v>
          </cell>
          <cell r="B238">
            <v>45778</v>
          </cell>
          <cell r="C238">
            <v>0</v>
          </cell>
          <cell r="D238">
            <v>830.059201344298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19724.9729129207</v>
          </cell>
        </row>
        <row r="239">
          <cell r="A239">
            <v>221</v>
          </cell>
          <cell r="B239">
            <v>45809</v>
          </cell>
          <cell r="C239">
            <v>0</v>
          </cell>
          <cell r="D239">
            <v>830.059201344298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19724.9729129207</v>
          </cell>
        </row>
        <row r="240">
          <cell r="A240">
            <v>222</v>
          </cell>
          <cell r="B240">
            <v>45839</v>
          </cell>
          <cell r="C240">
            <v>0</v>
          </cell>
          <cell r="D240">
            <v>830.059201344298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19724.9729129207</v>
          </cell>
        </row>
        <row r="241">
          <cell r="A241">
            <v>223</v>
          </cell>
          <cell r="B241">
            <v>45870</v>
          </cell>
          <cell r="C241">
            <v>0</v>
          </cell>
          <cell r="D241">
            <v>830.059201344298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19724.9729129207</v>
          </cell>
        </row>
        <row r="242">
          <cell r="A242">
            <v>224</v>
          </cell>
          <cell r="B242">
            <v>45901</v>
          </cell>
          <cell r="C242">
            <v>0</v>
          </cell>
          <cell r="D242">
            <v>830.059201344298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19724.9729129207</v>
          </cell>
        </row>
        <row r="243">
          <cell r="A243">
            <v>225</v>
          </cell>
          <cell r="B243">
            <v>45931</v>
          </cell>
          <cell r="C243">
            <v>0</v>
          </cell>
          <cell r="D243">
            <v>830.059201344298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19724.9729129207</v>
          </cell>
        </row>
        <row r="244">
          <cell r="A244">
            <v>226</v>
          </cell>
          <cell r="B244">
            <v>45962</v>
          </cell>
          <cell r="C244">
            <v>0</v>
          </cell>
          <cell r="D244">
            <v>830.059201344298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19724.9729129207</v>
          </cell>
        </row>
        <row r="245">
          <cell r="A245">
            <v>227</v>
          </cell>
          <cell r="B245">
            <v>45992</v>
          </cell>
          <cell r="C245">
            <v>0</v>
          </cell>
          <cell r="D245">
            <v>830.059201344298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19724.9729129207</v>
          </cell>
        </row>
        <row r="246">
          <cell r="A246">
            <v>228</v>
          </cell>
          <cell r="B246">
            <v>46023</v>
          </cell>
          <cell r="C246">
            <v>0</v>
          </cell>
          <cell r="D246">
            <v>830.059201344298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19724.9729129207</v>
          </cell>
        </row>
        <row r="247">
          <cell r="A247">
            <v>229</v>
          </cell>
          <cell r="B247">
            <v>46054</v>
          </cell>
          <cell r="C247">
            <v>0</v>
          </cell>
          <cell r="D247">
            <v>830.059201344298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19724.9729129207</v>
          </cell>
        </row>
        <row r="248">
          <cell r="A248">
            <v>230</v>
          </cell>
          <cell r="B248">
            <v>46082</v>
          </cell>
          <cell r="C248">
            <v>0</v>
          </cell>
          <cell r="D248">
            <v>830.059201344298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19724.9729129207</v>
          </cell>
        </row>
        <row r="249">
          <cell r="A249">
            <v>231</v>
          </cell>
          <cell r="B249">
            <v>46113</v>
          </cell>
          <cell r="C249">
            <v>0</v>
          </cell>
          <cell r="D249">
            <v>830.059201344298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19724.9729129207</v>
          </cell>
        </row>
        <row r="250">
          <cell r="A250">
            <v>232</v>
          </cell>
          <cell r="B250">
            <v>46143</v>
          </cell>
          <cell r="C250">
            <v>0</v>
          </cell>
          <cell r="D250">
            <v>830.059201344298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19724.9729129207</v>
          </cell>
        </row>
        <row r="251">
          <cell r="A251">
            <v>233</v>
          </cell>
          <cell r="B251">
            <v>46174</v>
          </cell>
          <cell r="C251">
            <v>0</v>
          </cell>
          <cell r="D251">
            <v>830.059201344298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19724.9729129207</v>
          </cell>
        </row>
        <row r="252">
          <cell r="A252">
            <v>234</v>
          </cell>
          <cell r="B252">
            <v>46204</v>
          </cell>
          <cell r="C252">
            <v>0</v>
          </cell>
          <cell r="D252">
            <v>830.059201344298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19724.9729129207</v>
          </cell>
        </row>
        <row r="253">
          <cell r="A253">
            <v>235</v>
          </cell>
          <cell r="B253">
            <v>46235</v>
          </cell>
          <cell r="C253">
            <v>0</v>
          </cell>
          <cell r="D253">
            <v>830.059201344298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19724.9729129207</v>
          </cell>
        </row>
        <row r="254">
          <cell r="A254">
            <v>236</v>
          </cell>
          <cell r="B254">
            <v>46266</v>
          </cell>
          <cell r="C254">
            <v>0</v>
          </cell>
          <cell r="D254">
            <v>830.059201344298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19724.9729129207</v>
          </cell>
        </row>
        <row r="255">
          <cell r="A255">
            <v>237</v>
          </cell>
          <cell r="B255">
            <v>46296</v>
          </cell>
          <cell r="C255">
            <v>0</v>
          </cell>
          <cell r="D255">
            <v>830.059201344298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19724.9729129207</v>
          </cell>
        </row>
        <row r="256">
          <cell r="A256">
            <v>238</v>
          </cell>
          <cell r="B256">
            <v>46327</v>
          </cell>
          <cell r="C256">
            <v>0</v>
          </cell>
          <cell r="D256">
            <v>830.059201344298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19724.9729129207</v>
          </cell>
        </row>
        <row r="257">
          <cell r="A257">
            <v>239</v>
          </cell>
          <cell r="B257">
            <v>46357</v>
          </cell>
          <cell r="C257">
            <v>0</v>
          </cell>
          <cell r="D257">
            <v>830.059201344298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19724.9729129207</v>
          </cell>
        </row>
        <row r="258">
          <cell r="A258">
            <v>240</v>
          </cell>
          <cell r="B258">
            <v>46388</v>
          </cell>
          <cell r="C258">
            <v>0</v>
          </cell>
          <cell r="D258">
            <v>830.059201344298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19724.9729129207</v>
          </cell>
        </row>
        <row r="259">
          <cell r="A259">
            <v>241</v>
          </cell>
          <cell r="B259">
            <v>46419</v>
          </cell>
          <cell r="C259">
            <v>0</v>
          </cell>
          <cell r="D259">
            <v>830.059201344298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19724.9729129207</v>
          </cell>
        </row>
        <row r="260">
          <cell r="A260">
            <v>242</v>
          </cell>
          <cell r="B260">
            <v>46447</v>
          </cell>
          <cell r="C260">
            <v>0</v>
          </cell>
          <cell r="D260">
            <v>830.059201344298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19724.9729129207</v>
          </cell>
        </row>
        <row r="261">
          <cell r="A261">
            <v>243</v>
          </cell>
          <cell r="B261">
            <v>46478</v>
          </cell>
          <cell r="C261">
            <v>0</v>
          </cell>
          <cell r="D261">
            <v>830.059201344298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19724.9729129207</v>
          </cell>
        </row>
        <row r="262">
          <cell r="A262">
            <v>244</v>
          </cell>
          <cell r="B262">
            <v>46508</v>
          </cell>
          <cell r="C262">
            <v>0</v>
          </cell>
          <cell r="D262">
            <v>830.059201344298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19724.9729129207</v>
          </cell>
        </row>
        <row r="263">
          <cell r="A263">
            <v>245</v>
          </cell>
          <cell r="B263">
            <v>46539</v>
          </cell>
          <cell r="C263">
            <v>0</v>
          </cell>
          <cell r="D263">
            <v>830.059201344298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19724.9729129207</v>
          </cell>
        </row>
        <row r="264">
          <cell r="A264">
            <v>246</v>
          </cell>
          <cell r="B264">
            <v>46569</v>
          </cell>
          <cell r="C264">
            <v>0</v>
          </cell>
          <cell r="D264">
            <v>830.059201344298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19724.9729129207</v>
          </cell>
        </row>
        <row r="265">
          <cell r="A265">
            <v>247</v>
          </cell>
          <cell r="B265">
            <v>46600</v>
          </cell>
          <cell r="C265">
            <v>0</v>
          </cell>
          <cell r="D265">
            <v>830.059201344298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19724.9729129207</v>
          </cell>
        </row>
        <row r="266">
          <cell r="A266">
            <v>248</v>
          </cell>
          <cell r="B266">
            <v>46631</v>
          </cell>
          <cell r="C266">
            <v>0</v>
          </cell>
          <cell r="D266">
            <v>830.059201344298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19724.9729129207</v>
          </cell>
        </row>
        <row r="267">
          <cell r="A267">
            <v>249</v>
          </cell>
          <cell r="B267">
            <v>46661</v>
          </cell>
          <cell r="C267">
            <v>0</v>
          </cell>
          <cell r="D267">
            <v>830.059201344298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19724.9729129207</v>
          </cell>
        </row>
        <row r="268">
          <cell r="A268">
            <v>250</v>
          </cell>
          <cell r="B268">
            <v>46692</v>
          </cell>
          <cell r="C268">
            <v>0</v>
          </cell>
          <cell r="D268">
            <v>830.059201344298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19724.9729129207</v>
          </cell>
        </row>
        <row r="269">
          <cell r="A269">
            <v>251</v>
          </cell>
          <cell r="B269">
            <v>46722</v>
          </cell>
          <cell r="C269">
            <v>0</v>
          </cell>
          <cell r="D269">
            <v>830.059201344298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19724.9729129207</v>
          </cell>
        </row>
        <row r="270">
          <cell r="A270">
            <v>252</v>
          </cell>
          <cell r="B270">
            <v>46753</v>
          </cell>
          <cell r="C270">
            <v>0</v>
          </cell>
          <cell r="D270">
            <v>830.059201344298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19724.9729129207</v>
          </cell>
        </row>
        <row r="271">
          <cell r="A271">
            <v>253</v>
          </cell>
          <cell r="B271">
            <v>46784</v>
          </cell>
          <cell r="C271">
            <v>0</v>
          </cell>
          <cell r="D271">
            <v>830.059201344298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19724.9729129207</v>
          </cell>
        </row>
        <row r="272">
          <cell r="A272">
            <v>254</v>
          </cell>
          <cell r="B272">
            <v>46813</v>
          </cell>
          <cell r="C272">
            <v>0</v>
          </cell>
          <cell r="D272">
            <v>830.059201344298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19724.9729129207</v>
          </cell>
        </row>
        <row r="273">
          <cell r="A273">
            <v>255</v>
          </cell>
          <cell r="B273">
            <v>46844</v>
          </cell>
          <cell r="C273">
            <v>0</v>
          </cell>
          <cell r="D273">
            <v>830.059201344298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19724.9729129207</v>
          </cell>
        </row>
        <row r="274">
          <cell r="A274">
            <v>256</v>
          </cell>
          <cell r="B274">
            <v>46874</v>
          </cell>
          <cell r="C274">
            <v>0</v>
          </cell>
          <cell r="D274">
            <v>830.059201344298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19724.9729129207</v>
          </cell>
        </row>
        <row r="275">
          <cell r="A275">
            <v>257</v>
          </cell>
          <cell r="B275">
            <v>46905</v>
          </cell>
          <cell r="C275">
            <v>0</v>
          </cell>
          <cell r="D275">
            <v>830.059201344298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19724.9729129207</v>
          </cell>
        </row>
        <row r="276">
          <cell r="A276">
            <v>258</v>
          </cell>
          <cell r="B276">
            <v>46935</v>
          </cell>
          <cell r="C276">
            <v>0</v>
          </cell>
          <cell r="D276">
            <v>830.059201344298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19724.9729129207</v>
          </cell>
        </row>
        <row r="277">
          <cell r="A277">
            <v>259</v>
          </cell>
          <cell r="B277">
            <v>46966</v>
          </cell>
          <cell r="C277">
            <v>0</v>
          </cell>
          <cell r="D277">
            <v>830.059201344298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19724.9729129207</v>
          </cell>
        </row>
        <row r="278">
          <cell r="A278">
            <v>260</v>
          </cell>
          <cell r="B278">
            <v>46997</v>
          </cell>
          <cell r="C278">
            <v>0</v>
          </cell>
          <cell r="D278">
            <v>830.059201344298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19724.9729129207</v>
          </cell>
        </row>
        <row r="279">
          <cell r="A279">
            <v>261</v>
          </cell>
          <cell r="B279">
            <v>47027</v>
          </cell>
          <cell r="C279">
            <v>0</v>
          </cell>
          <cell r="D279">
            <v>830.059201344298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19724.9729129207</v>
          </cell>
        </row>
        <row r="280">
          <cell r="A280">
            <v>262</v>
          </cell>
          <cell r="B280">
            <v>47058</v>
          </cell>
          <cell r="C280">
            <v>0</v>
          </cell>
          <cell r="D280">
            <v>830.059201344298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19724.9729129207</v>
          </cell>
        </row>
        <row r="281">
          <cell r="A281">
            <v>263</v>
          </cell>
          <cell r="B281">
            <v>47088</v>
          </cell>
          <cell r="C281">
            <v>0</v>
          </cell>
          <cell r="D281">
            <v>830.059201344298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19724.9729129207</v>
          </cell>
        </row>
        <row r="282">
          <cell r="A282">
            <v>264</v>
          </cell>
          <cell r="B282">
            <v>47119</v>
          </cell>
          <cell r="C282">
            <v>0</v>
          </cell>
          <cell r="D282">
            <v>830.059201344298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19724.9729129207</v>
          </cell>
        </row>
        <row r="283">
          <cell r="A283">
            <v>265</v>
          </cell>
          <cell r="B283">
            <v>47150</v>
          </cell>
          <cell r="C283">
            <v>0</v>
          </cell>
          <cell r="D283">
            <v>830.059201344298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19724.9729129207</v>
          </cell>
        </row>
        <row r="284">
          <cell r="A284">
            <v>266</v>
          </cell>
          <cell r="B284">
            <v>47178</v>
          </cell>
          <cell r="C284">
            <v>0</v>
          </cell>
          <cell r="D284">
            <v>830.059201344298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19724.9729129207</v>
          </cell>
        </row>
        <row r="285">
          <cell r="A285">
            <v>267</v>
          </cell>
          <cell r="B285">
            <v>47209</v>
          </cell>
          <cell r="C285">
            <v>0</v>
          </cell>
          <cell r="D285">
            <v>830.059201344298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19724.9729129207</v>
          </cell>
        </row>
        <row r="286">
          <cell r="A286">
            <v>268</v>
          </cell>
          <cell r="B286">
            <v>47239</v>
          </cell>
          <cell r="C286">
            <v>0</v>
          </cell>
          <cell r="D286">
            <v>830.059201344298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19724.9729129207</v>
          </cell>
        </row>
        <row r="287">
          <cell r="A287">
            <v>269</v>
          </cell>
          <cell r="B287">
            <v>47270</v>
          </cell>
          <cell r="C287">
            <v>0</v>
          </cell>
          <cell r="D287">
            <v>830.059201344298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19724.9729129207</v>
          </cell>
        </row>
        <row r="288">
          <cell r="A288">
            <v>270</v>
          </cell>
          <cell r="B288">
            <v>47300</v>
          </cell>
          <cell r="C288">
            <v>0</v>
          </cell>
          <cell r="D288">
            <v>830.059201344298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19724.9729129207</v>
          </cell>
        </row>
        <row r="289">
          <cell r="A289">
            <v>271</v>
          </cell>
          <cell r="B289">
            <v>47331</v>
          </cell>
          <cell r="C289">
            <v>0</v>
          </cell>
          <cell r="D289">
            <v>830.059201344298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19724.9729129207</v>
          </cell>
        </row>
        <row r="290">
          <cell r="A290">
            <v>272</v>
          </cell>
          <cell r="B290">
            <v>47362</v>
          </cell>
          <cell r="C290">
            <v>0</v>
          </cell>
          <cell r="D290">
            <v>830.059201344298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19724.9729129207</v>
          </cell>
        </row>
        <row r="291">
          <cell r="A291">
            <v>273</v>
          </cell>
          <cell r="B291">
            <v>47392</v>
          </cell>
          <cell r="C291">
            <v>0</v>
          </cell>
          <cell r="D291">
            <v>830.059201344298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19724.9729129207</v>
          </cell>
        </row>
        <row r="292">
          <cell r="A292">
            <v>274</v>
          </cell>
          <cell r="B292">
            <v>47423</v>
          </cell>
          <cell r="C292">
            <v>0</v>
          </cell>
          <cell r="D292">
            <v>830.059201344298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19724.9729129207</v>
          </cell>
        </row>
        <row r="293">
          <cell r="A293">
            <v>275</v>
          </cell>
          <cell r="B293">
            <v>47453</v>
          </cell>
          <cell r="C293">
            <v>0</v>
          </cell>
          <cell r="D293">
            <v>830.059201344298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19724.9729129207</v>
          </cell>
        </row>
        <row r="294">
          <cell r="A294">
            <v>276</v>
          </cell>
          <cell r="B294">
            <v>47484</v>
          </cell>
          <cell r="C294">
            <v>0</v>
          </cell>
          <cell r="D294">
            <v>830.059201344298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19724.9729129207</v>
          </cell>
        </row>
        <row r="295">
          <cell r="A295">
            <v>277</v>
          </cell>
          <cell r="B295">
            <v>47515</v>
          </cell>
          <cell r="C295">
            <v>0</v>
          </cell>
          <cell r="D295">
            <v>830.059201344298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19724.9729129207</v>
          </cell>
        </row>
        <row r="296">
          <cell r="A296">
            <v>278</v>
          </cell>
          <cell r="B296">
            <v>47543</v>
          </cell>
          <cell r="C296">
            <v>0</v>
          </cell>
          <cell r="D296">
            <v>830.059201344298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19724.9729129207</v>
          </cell>
        </row>
        <row r="297">
          <cell r="A297">
            <v>279</v>
          </cell>
          <cell r="B297">
            <v>47574</v>
          </cell>
          <cell r="C297">
            <v>0</v>
          </cell>
          <cell r="D297">
            <v>830.059201344298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19724.9729129207</v>
          </cell>
        </row>
        <row r="298">
          <cell r="A298">
            <v>280</v>
          </cell>
          <cell r="B298">
            <v>47604</v>
          </cell>
          <cell r="C298">
            <v>0</v>
          </cell>
          <cell r="D298">
            <v>830.059201344298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19724.9729129207</v>
          </cell>
        </row>
        <row r="299">
          <cell r="A299">
            <v>281</v>
          </cell>
          <cell r="B299">
            <v>47635</v>
          </cell>
          <cell r="C299">
            <v>0</v>
          </cell>
          <cell r="D299">
            <v>830.059201344298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19724.9729129207</v>
          </cell>
        </row>
        <row r="300">
          <cell r="A300">
            <v>282</v>
          </cell>
          <cell r="B300">
            <v>47665</v>
          </cell>
          <cell r="C300">
            <v>0</v>
          </cell>
          <cell r="D300">
            <v>830.059201344298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19724.9729129207</v>
          </cell>
        </row>
        <row r="301">
          <cell r="A301">
            <v>283</v>
          </cell>
          <cell r="B301">
            <v>47696</v>
          </cell>
          <cell r="C301">
            <v>0</v>
          </cell>
          <cell r="D301">
            <v>830.059201344298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19724.9729129207</v>
          </cell>
        </row>
        <row r="302">
          <cell r="A302">
            <v>284</v>
          </cell>
          <cell r="B302">
            <v>47727</v>
          </cell>
          <cell r="C302">
            <v>0</v>
          </cell>
          <cell r="D302">
            <v>830.059201344298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19724.9729129207</v>
          </cell>
        </row>
        <row r="303">
          <cell r="A303">
            <v>285</v>
          </cell>
          <cell r="B303">
            <v>47757</v>
          </cell>
          <cell r="C303">
            <v>0</v>
          </cell>
          <cell r="D303">
            <v>830.059201344298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19724.9729129207</v>
          </cell>
        </row>
        <row r="304">
          <cell r="A304">
            <v>286</v>
          </cell>
          <cell r="B304">
            <v>47788</v>
          </cell>
          <cell r="C304">
            <v>0</v>
          </cell>
          <cell r="D304">
            <v>830.059201344298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19724.9729129207</v>
          </cell>
        </row>
        <row r="305">
          <cell r="A305">
            <v>287</v>
          </cell>
          <cell r="B305">
            <v>47818</v>
          </cell>
          <cell r="C305">
            <v>0</v>
          </cell>
          <cell r="D305">
            <v>830.059201344298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19724.9729129207</v>
          </cell>
        </row>
        <row r="306">
          <cell r="A306">
            <v>288</v>
          </cell>
          <cell r="B306">
            <v>47849</v>
          </cell>
          <cell r="C306">
            <v>0</v>
          </cell>
          <cell r="D306">
            <v>830.059201344298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19724.9729129207</v>
          </cell>
        </row>
        <row r="307">
          <cell r="A307">
            <v>289</v>
          </cell>
          <cell r="B307">
            <v>47880</v>
          </cell>
          <cell r="C307">
            <v>0</v>
          </cell>
          <cell r="D307">
            <v>830.059201344298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19724.9729129207</v>
          </cell>
        </row>
        <row r="308">
          <cell r="A308">
            <v>290</v>
          </cell>
          <cell r="B308">
            <v>47908</v>
          </cell>
          <cell r="C308">
            <v>0</v>
          </cell>
          <cell r="D308">
            <v>830.059201344298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19724.9729129207</v>
          </cell>
        </row>
        <row r="309">
          <cell r="A309">
            <v>291</v>
          </cell>
          <cell r="B309">
            <v>47939</v>
          </cell>
          <cell r="C309">
            <v>0</v>
          </cell>
          <cell r="D309">
            <v>830.059201344298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19724.9729129207</v>
          </cell>
        </row>
        <row r="310">
          <cell r="A310">
            <v>292</v>
          </cell>
          <cell r="B310">
            <v>47969</v>
          </cell>
          <cell r="C310">
            <v>0</v>
          </cell>
          <cell r="D310">
            <v>830.059201344298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19724.9729129207</v>
          </cell>
        </row>
        <row r="311">
          <cell r="A311">
            <v>293</v>
          </cell>
          <cell r="B311">
            <v>48000</v>
          </cell>
          <cell r="C311">
            <v>0</v>
          </cell>
          <cell r="D311">
            <v>830.059201344298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19724.9729129207</v>
          </cell>
        </row>
        <row r="312">
          <cell r="A312">
            <v>294</v>
          </cell>
          <cell r="B312">
            <v>48030</v>
          </cell>
          <cell r="C312">
            <v>0</v>
          </cell>
          <cell r="D312">
            <v>830.059201344298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19724.9729129207</v>
          </cell>
        </row>
        <row r="313">
          <cell r="A313">
            <v>295</v>
          </cell>
          <cell r="B313">
            <v>48061</v>
          </cell>
          <cell r="C313">
            <v>0</v>
          </cell>
          <cell r="D313">
            <v>830.059201344298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19724.9729129207</v>
          </cell>
        </row>
        <row r="314">
          <cell r="A314">
            <v>296</v>
          </cell>
          <cell r="B314">
            <v>48092</v>
          </cell>
          <cell r="C314">
            <v>0</v>
          </cell>
          <cell r="D314">
            <v>830.059201344298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19724.9729129207</v>
          </cell>
        </row>
        <row r="315">
          <cell r="A315">
            <v>297</v>
          </cell>
          <cell r="B315">
            <v>48122</v>
          </cell>
          <cell r="C315">
            <v>0</v>
          </cell>
          <cell r="D315">
            <v>830.059201344298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19724.9729129207</v>
          </cell>
        </row>
        <row r="316">
          <cell r="A316">
            <v>298</v>
          </cell>
          <cell r="B316">
            <v>48153</v>
          </cell>
          <cell r="C316">
            <v>0</v>
          </cell>
          <cell r="D316">
            <v>830.059201344298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19724.9729129207</v>
          </cell>
        </row>
        <row r="317">
          <cell r="A317">
            <v>299</v>
          </cell>
          <cell r="B317">
            <v>48183</v>
          </cell>
          <cell r="C317">
            <v>0</v>
          </cell>
          <cell r="D317">
            <v>830.059201344298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19724.9729129207</v>
          </cell>
        </row>
        <row r="318">
          <cell r="A318">
            <v>300</v>
          </cell>
          <cell r="B318">
            <v>48214</v>
          </cell>
          <cell r="C318">
            <v>0</v>
          </cell>
          <cell r="D318">
            <v>830.059201344298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19724.9729129207</v>
          </cell>
        </row>
        <row r="319">
          <cell r="A319">
            <v>301</v>
          </cell>
          <cell r="B319">
            <v>48245</v>
          </cell>
          <cell r="C319">
            <v>0</v>
          </cell>
          <cell r="D319">
            <v>830.059201344298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19724.9729129207</v>
          </cell>
        </row>
        <row r="320">
          <cell r="A320">
            <v>302</v>
          </cell>
          <cell r="B320">
            <v>48274</v>
          </cell>
          <cell r="C320">
            <v>0</v>
          </cell>
          <cell r="D320">
            <v>830.059201344298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19724.9729129207</v>
          </cell>
        </row>
        <row r="321">
          <cell r="A321">
            <v>303</v>
          </cell>
          <cell r="B321">
            <v>48305</v>
          </cell>
          <cell r="C321">
            <v>0</v>
          </cell>
          <cell r="D321">
            <v>830.059201344298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19724.9729129207</v>
          </cell>
        </row>
        <row r="322">
          <cell r="A322">
            <v>304</v>
          </cell>
          <cell r="B322">
            <v>48335</v>
          </cell>
          <cell r="C322">
            <v>0</v>
          </cell>
          <cell r="D322">
            <v>830.059201344298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19724.9729129207</v>
          </cell>
        </row>
        <row r="323">
          <cell r="A323">
            <v>305</v>
          </cell>
          <cell r="B323">
            <v>48366</v>
          </cell>
          <cell r="C323">
            <v>0</v>
          </cell>
          <cell r="D323">
            <v>830.059201344298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19724.9729129207</v>
          </cell>
        </row>
        <row r="324">
          <cell r="A324">
            <v>306</v>
          </cell>
          <cell r="B324">
            <v>48396</v>
          </cell>
          <cell r="C324">
            <v>0</v>
          </cell>
          <cell r="D324">
            <v>830.059201344298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19724.9729129207</v>
          </cell>
        </row>
        <row r="325">
          <cell r="A325">
            <v>307</v>
          </cell>
          <cell r="B325">
            <v>48427</v>
          </cell>
          <cell r="C325">
            <v>0</v>
          </cell>
          <cell r="D325">
            <v>830.059201344298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19724.9729129207</v>
          </cell>
        </row>
        <row r="326">
          <cell r="A326">
            <v>308</v>
          </cell>
          <cell r="B326">
            <v>48458</v>
          </cell>
          <cell r="C326">
            <v>0</v>
          </cell>
          <cell r="D326">
            <v>830.059201344298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19724.9729129207</v>
          </cell>
        </row>
        <row r="327">
          <cell r="A327">
            <v>309</v>
          </cell>
          <cell r="B327">
            <v>48488</v>
          </cell>
          <cell r="C327">
            <v>0</v>
          </cell>
          <cell r="D327">
            <v>830.059201344298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19724.9729129207</v>
          </cell>
        </row>
        <row r="328">
          <cell r="A328">
            <v>310</v>
          </cell>
          <cell r="B328">
            <v>48519</v>
          </cell>
          <cell r="C328">
            <v>0</v>
          </cell>
          <cell r="D328">
            <v>830.059201344298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19724.9729129207</v>
          </cell>
        </row>
        <row r="329">
          <cell r="A329">
            <v>311</v>
          </cell>
          <cell r="B329">
            <v>48549</v>
          </cell>
          <cell r="C329">
            <v>0</v>
          </cell>
          <cell r="D329">
            <v>830.059201344298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19724.9729129207</v>
          </cell>
        </row>
        <row r="330">
          <cell r="A330">
            <v>312</v>
          </cell>
          <cell r="B330">
            <v>48580</v>
          </cell>
          <cell r="C330">
            <v>0</v>
          </cell>
          <cell r="D330">
            <v>830.059201344298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19724.9729129207</v>
          </cell>
        </row>
        <row r="331">
          <cell r="A331">
            <v>313</v>
          </cell>
          <cell r="B331">
            <v>48611</v>
          </cell>
          <cell r="C331">
            <v>0</v>
          </cell>
          <cell r="D331">
            <v>830.059201344298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19724.9729129207</v>
          </cell>
        </row>
        <row r="332">
          <cell r="A332">
            <v>314</v>
          </cell>
          <cell r="B332">
            <v>48639</v>
          </cell>
          <cell r="C332">
            <v>0</v>
          </cell>
          <cell r="D332">
            <v>830.059201344298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19724.9729129207</v>
          </cell>
        </row>
        <row r="333">
          <cell r="A333">
            <v>315</v>
          </cell>
          <cell r="B333">
            <v>48670</v>
          </cell>
          <cell r="C333">
            <v>0</v>
          </cell>
          <cell r="D333">
            <v>830.059201344298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19724.9729129207</v>
          </cell>
        </row>
        <row r="334">
          <cell r="A334">
            <v>316</v>
          </cell>
          <cell r="B334">
            <v>48700</v>
          </cell>
          <cell r="C334">
            <v>0</v>
          </cell>
          <cell r="D334">
            <v>830.059201344298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19724.9729129207</v>
          </cell>
        </row>
        <row r="335">
          <cell r="A335">
            <v>317</v>
          </cell>
          <cell r="B335">
            <v>48731</v>
          </cell>
          <cell r="C335">
            <v>0</v>
          </cell>
          <cell r="D335">
            <v>830.059201344298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19724.9729129207</v>
          </cell>
        </row>
        <row r="336">
          <cell r="A336">
            <v>318</v>
          </cell>
          <cell r="B336">
            <v>48761</v>
          </cell>
          <cell r="C336">
            <v>0</v>
          </cell>
          <cell r="D336">
            <v>830.059201344298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19724.9729129207</v>
          </cell>
        </row>
        <row r="337">
          <cell r="A337">
            <v>319</v>
          </cell>
          <cell r="B337">
            <v>48792</v>
          </cell>
          <cell r="C337">
            <v>0</v>
          </cell>
          <cell r="D337">
            <v>830.059201344298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19724.9729129207</v>
          </cell>
        </row>
        <row r="338">
          <cell r="A338">
            <v>320</v>
          </cell>
          <cell r="B338">
            <v>48823</v>
          </cell>
          <cell r="C338">
            <v>0</v>
          </cell>
          <cell r="D338">
            <v>830.059201344298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19724.9729129207</v>
          </cell>
        </row>
        <row r="339">
          <cell r="A339">
            <v>321</v>
          </cell>
          <cell r="B339">
            <v>48853</v>
          </cell>
          <cell r="C339">
            <v>0</v>
          </cell>
          <cell r="D339">
            <v>830.059201344298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19724.9729129207</v>
          </cell>
        </row>
        <row r="340">
          <cell r="A340">
            <v>322</v>
          </cell>
          <cell r="B340">
            <v>48884</v>
          </cell>
          <cell r="C340">
            <v>0</v>
          </cell>
          <cell r="D340">
            <v>830.059201344298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19724.9729129207</v>
          </cell>
        </row>
        <row r="341">
          <cell r="A341">
            <v>323</v>
          </cell>
          <cell r="B341">
            <v>48914</v>
          </cell>
          <cell r="C341">
            <v>0</v>
          </cell>
          <cell r="D341">
            <v>830.059201344298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19724.9729129207</v>
          </cell>
        </row>
        <row r="342">
          <cell r="A342">
            <v>324</v>
          </cell>
          <cell r="B342">
            <v>48945</v>
          </cell>
          <cell r="C342">
            <v>0</v>
          </cell>
          <cell r="D342">
            <v>830.059201344298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19724.9729129207</v>
          </cell>
        </row>
        <row r="343">
          <cell r="A343">
            <v>325</v>
          </cell>
          <cell r="B343">
            <v>48976</v>
          </cell>
          <cell r="C343">
            <v>0</v>
          </cell>
          <cell r="D343">
            <v>830.059201344298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19724.9729129207</v>
          </cell>
        </row>
        <row r="344">
          <cell r="A344">
            <v>326</v>
          </cell>
          <cell r="B344">
            <v>49004</v>
          </cell>
          <cell r="C344">
            <v>0</v>
          </cell>
          <cell r="D344">
            <v>830.059201344298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19724.9729129207</v>
          </cell>
        </row>
        <row r="345">
          <cell r="A345">
            <v>327</v>
          </cell>
          <cell r="B345">
            <v>49035</v>
          </cell>
          <cell r="C345">
            <v>0</v>
          </cell>
          <cell r="D345">
            <v>830.059201344298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19724.9729129207</v>
          </cell>
        </row>
        <row r="346">
          <cell r="A346">
            <v>328</v>
          </cell>
          <cell r="B346">
            <v>49065</v>
          </cell>
          <cell r="C346">
            <v>0</v>
          </cell>
          <cell r="D346">
            <v>830.059201344298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19724.9729129207</v>
          </cell>
        </row>
        <row r="347">
          <cell r="A347">
            <v>329</v>
          </cell>
          <cell r="B347">
            <v>49096</v>
          </cell>
          <cell r="C347">
            <v>0</v>
          </cell>
          <cell r="D347">
            <v>830.059201344298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19724.9729129207</v>
          </cell>
        </row>
        <row r="348">
          <cell r="A348">
            <v>330</v>
          </cell>
          <cell r="B348">
            <v>49126</v>
          </cell>
          <cell r="C348">
            <v>0</v>
          </cell>
          <cell r="D348">
            <v>830.059201344298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19724.9729129207</v>
          </cell>
        </row>
        <row r="349">
          <cell r="A349">
            <v>331</v>
          </cell>
          <cell r="B349">
            <v>49157</v>
          </cell>
          <cell r="C349">
            <v>0</v>
          </cell>
          <cell r="D349">
            <v>830.059201344298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19724.9729129207</v>
          </cell>
        </row>
        <row r="350">
          <cell r="A350">
            <v>332</v>
          </cell>
          <cell r="B350">
            <v>49188</v>
          </cell>
          <cell r="C350">
            <v>0</v>
          </cell>
          <cell r="D350">
            <v>830.059201344298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19724.9729129207</v>
          </cell>
        </row>
        <row r="351">
          <cell r="A351">
            <v>333</v>
          </cell>
          <cell r="B351">
            <v>49218</v>
          </cell>
          <cell r="C351">
            <v>0</v>
          </cell>
          <cell r="D351">
            <v>830.059201344298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19724.9729129207</v>
          </cell>
        </row>
        <row r="352">
          <cell r="A352">
            <v>334</v>
          </cell>
          <cell r="B352">
            <v>49249</v>
          </cell>
          <cell r="C352">
            <v>0</v>
          </cell>
          <cell r="D352">
            <v>830.059201344298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19724.9729129207</v>
          </cell>
        </row>
        <row r="353">
          <cell r="A353">
            <v>335</v>
          </cell>
          <cell r="B353">
            <v>49279</v>
          </cell>
          <cell r="C353">
            <v>0</v>
          </cell>
          <cell r="D353">
            <v>830.059201344298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19724.9729129207</v>
          </cell>
        </row>
        <row r="354">
          <cell r="A354">
            <v>336</v>
          </cell>
          <cell r="B354">
            <v>49310</v>
          </cell>
          <cell r="C354">
            <v>0</v>
          </cell>
          <cell r="D354">
            <v>830.059201344298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19724.9729129207</v>
          </cell>
        </row>
        <row r="355">
          <cell r="A355">
            <v>337</v>
          </cell>
          <cell r="B355">
            <v>49341</v>
          </cell>
          <cell r="C355">
            <v>0</v>
          </cell>
          <cell r="D355">
            <v>830.059201344298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19724.9729129207</v>
          </cell>
        </row>
        <row r="356">
          <cell r="A356">
            <v>338</v>
          </cell>
          <cell r="B356">
            <v>49369</v>
          </cell>
          <cell r="C356">
            <v>0</v>
          </cell>
          <cell r="D356">
            <v>830.059201344298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19724.9729129207</v>
          </cell>
        </row>
        <row r="357">
          <cell r="A357">
            <v>339</v>
          </cell>
          <cell r="B357">
            <v>49400</v>
          </cell>
          <cell r="C357">
            <v>0</v>
          </cell>
          <cell r="D357">
            <v>830.059201344298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19724.9729129207</v>
          </cell>
        </row>
        <row r="358">
          <cell r="A358">
            <v>340</v>
          </cell>
          <cell r="B358">
            <v>49430</v>
          </cell>
          <cell r="C358">
            <v>0</v>
          </cell>
          <cell r="D358">
            <v>830.059201344298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19724.9729129207</v>
          </cell>
        </row>
        <row r="359">
          <cell r="A359">
            <v>341</v>
          </cell>
          <cell r="B359">
            <v>49461</v>
          </cell>
          <cell r="C359">
            <v>0</v>
          </cell>
          <cell r="D359">
            <v>830.059201344298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19724.9729129207</v>
          </cell>
        </row>
        <row r="360">
          <cell r="A360">
            <v>342</v>
          </cell>
          <cell r="B360">
            <v>49491</v>
          </cell>
          <cell r="C360">
            <v>0</v>
          </cell>
          <cell r="D360">
            <v>830.059201344298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19724.9729129207</v>
          </cell>
        </row>
        <row r="361">
          <cell r="A361">
            <v>343</v>
          </cell>
          <cell r="B361">
            <v>49522</v>
          </cell>
          <cell r="C361">
            <v>0</v>
          </cell>
          <cell r="D361">
            <v>830.059201344298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19724.9729129207</v>
          </cell>
        </row>
        <row r="362">
          <cell r="A362">
            <v>344</v>
          </cell>
          <cell r="B362">
            <v>49553</v>
          </cell>
          <cell r="C362">
            <v>0</v>
          </cell>
          <cell r="D362">
            <v>830.059201344298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19724.9729129207</v>
          </cell>
        </row>
        <row r="363">
          <cell r="A363">
            <v>345</v>
          </cell>
          <cell r="B363">
            <v>49583</v>
          </cell>
          <cell r="C363">
            <v>0</v>
          </cell>
          <cell r="D363">
            <v>830.059201344298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19724.9729129207</v>
          </cell>
        </row>
        <row r="364">
          <cell r="A364">
            <v>346</v>
          </cell>
          <cell r="B364">
            <v>49614</v>
          </cell>
          <cell r="C364">
            <v>0</v>
          </cell>
          <cell r="D364">
            <v>830.059201344298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19724.9729129207</v>
          </cell>
        </row>
        <row r="365">
          <cell r="A365">
            <v>347</v>
          </cell>
          <cell r="B365">
            <v>49644</v>
          </cell>
          <cell r="C365">
            <v>0</v>
          </cell>
          <cell r="D365">
            <v>830.059201344298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19724.9729129207</v>
          </cell>
        </row>
        <row r="366">
          <cell r="A366">
            <v>348</v>
          </cell>
          <cell r="B366">
            <v>49675</v>
          </cell>
          <cell r="C366">
            <v>0</v>
          </cell>
          <cell r="D366">
            <v>830.059201344298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19724.9729129207</v>
          </cell>
        </row>
        <row r="367">
          <cell r="A367">
            <v>349</v>
          </cell>
          <cell r="B367">
            <v>49706</v>
          </cell>
          <cell r="C367">
            <v>0</v>
          </cell>
          <cell r="D367">
            <v>830.059201344298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19724.9729129207</v>
          </cell>
        </row>
        <row r="368">
          <cell r="A368">
            <v>350</v>
          </cell>
          <cell r="B368">
            <v>49735</v>
          </cell>
          <cell r="C368">
            <v>0</v>
          </cell>
          <cell r="D368">
            <v>830.059201344298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19724.9729129207</v>
          </cell>
        </row>
        <row r="369">
          <cell r="A369">
            <v>351</v>
          </cell>
          <cell r="B369">
            <v>49766</v>
          </cell>
          <cell r="C369">
            <v>0</v>
          </cell>
          <cell r="D369">
            <v>830.059201344298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19724.9729129207</v>
          </cell>
        </row>
        <row r="370">
          <cell r="A370">
            <v>352</v>
          </cell>
          <cell r="B370">
            <v>49796</v>
          </cell>
          <cell r="C370">
            <v>0</v>
          </cell>
          <cell r="D370">
            <v>830.059201344298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19724.9729129207</v>
          </cell>
        </row>
        <row r="371">
          <cell r="A371">
            <v>353</v>
          </cell>
          <cell r="B371">
            <v>49827</v>
          </cell>
          <cell r="C371">
            <v>0</v>
          </cell>
          <cell r="D371">
            <v>830.059201344298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19724.9729129207</v>
          </cell>
        </row>
        <row r="372">
          <cell r="A372">
            <v>354</v>
          </cell>
          <cell r="B372">
            <v>49857</v>
          </cell>
          <cell r="C372">
            <v>0</v>
          </cell>
          <cell r="D372">
            <v>830.059201344298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19724.9729129207</v>
          </cell>
        </row>
        <row r="373">
          <cell r="A373">
            <v>355</v>
          </cell>
          <cell r="B373">
            <v>49888</v>
          </cell>
          <cell r="C373">
            <v>0</v>
          </cell>
          <cell r="D373">
            <v>830.059201344298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19724.9729129207</v>
          </cell>
        </row>
        <row r="374">
          <cell r="A374">
            <v>356</v>
          </cell>
          <cell r="B374">
            <v>49919</v>
          </cell>
          <cell r="C374">
            <v>0</v>
          </cell>
          <cell r="D374">
            <v>830.059201344298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19724.9729129207</v>
          </cell>
        </row>
        <row r="375">
          <cell r="A375">
            <v>357</v>
          </cell>
          <cell r="B375">
            <v>49949</v>
          </cell>
          <cell r="C375">
            <v>0</v>
          </cell>
          <cell r="D375">
            <v>830.059201344298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19724.9729129207</v>
          </cell>
        </row>
        <row r="376">
          <cell r="A376">
            <v>358</v>
          </cell>
          <cell r="B376">
            <v>49980</v>
          </cell>
          <cell r="C376">
            <v>0</v>
          </cell>
          <cell r="D376">
            <v>830.059201344298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19724.9729129207</v>
          </cell>
        </row>
        <row r="377">
          <cell r="A377">
            <v>359</v>
          </cell>
          <cell r="B377">
            <v>50010</v>
          </cell>
          <cell r="C377">
            <v>0</v>
          </cell>
          <cell r="D377">
            <v>830.059201344298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19724.9729129207</v>
          </cell>
        </row>
        <row r="378">
          <cell r="A378">
            <v>360</v>
          </cell>
          <cell r="B378">
            <v>50041</v>
          </cell>
          <cell r="C378">
            <v>0</v>
          </cell>
          <cell r="D378">
            <v>830.059201344298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19724.9729129207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H38"/>
  <sheetViews>
    <sheetView tabSelected="1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24.140625" style="0" bestFit="1" customWidth="1"/>
    <col min="2" max="2" width="9.7109375" style="0" customWidth="1"/>
    <col min="3" max="3" width="18.57421875" style="0" bestFit="1" customWidth="1"/>
    <col min="4" max="4" width="4.421875" style="0" bestFit="1" customWidth="1"/>
    <col min="5" max="6" width="7.7109375" style="0" bestFit="1" customWidth="1"/>
    <col min="7" max="7" width="7.7109375" style="0" customWidth="1"/>
    <col min="8" max="8" width="14.57421875" style="0" customWidth="1"/>
  </cols>
  <sheetData>
    <row r="1" ht="13.5" thickBot="1"/>
    <row r="2" spans="1:8" ht="16.5" thickBot="1" thickTop="1">
      <c r="A2" s="340" t="s">
        <v>225</v>
      </c>
      <c r="B2" s="341"/>
      <c r="C2" s="341"/>
      <c r="D2" s="341"/>
      <c r="E2" s="341"/>
      <c r="F2" s="341"/>
      <c r="G2" s="341"/>
      <c r="H2" s="342"/>
    </row>
    <row r="3" spans="1:8" ht="14.25" thickBot="1" thickTop="1">
      <c r="A3" s="176" t="s">
        <v>226</v>
      </c>
      <c r="B3" s="343" t="s">
        <v>209</v>
      </c>
      <c r="C3" s="343"/>
      <c r="D3" s="343"/>
      <c r="E3" s="343"/>
      <c r="F3" s="344" t="s">
        <v>227</v>
      </c>
      <c r="G3" s="344"/>
      <c r="H3" s="177"/>
    </row>
    <row r="4" spans="1:8" ht="15.75" thickBot="1">
      <c r="A4" s="178"/>
      <c r="B4" s="179"/>
      <c r="C4" s="179"/>
      <c r="D4" s="179"/>
      <c r="E4" s="179"/>
      <c r="F4" s="180"/>
      <c r="G4" s="179"/>
      <c r="H4" s="181"/>
    </row>
    <row r="5" spans="1:8" ht="14.25" thickBot="1" thickTop="1">
      <c r="A5" s="345" t="s">
        <v>228</v>
      </c>
      <c r="B5" s="346"/>
      <c r="C5" s="347" t="s">
        <v>229</v>
      </c>
      <c r="D5" s="348"/>
      <c r="E5" s="348"/>
      <c r="F5" s="348"/>
      <c r="G5" s="348"/>
      <c r="H5" s="349"/>
    </row>
    <row r="6" spans="1:8" ht="13.5" thickTop="1">
      <c r="A6" s="182"/>
      <c r="B6" s="183"/>
      <c r="C6" s="184"/>
      <c r="D6" s="185"/>
      <c r="E6" s="186" t="s">
        <v>230</v>
      </c>
      <c r="F6" s="185"/>
      <c r="G6" s="187"/>
      <c r="H6" s="188" t="s">
        <v>165</v>
      </c>
    </row>
    <row r="7" spans="1:8" ht="13.5" thickBot="1">
      <c r="A7" s="189" t="s">
        <v>231</v>
      </c>
      <c r="B7" s="190" t="s">
        <v>232</v>
      </c>
      <c r="C7" s="191" t="s">
        <v>233</v>
      </c>
      <c r="D7" s="192" t="s">
        <v>234</v>
      </c>
      <c r="E7" s="192" t="s">
        <v>235</v>
      </c>
      <c r="F7" s="193" t="s">
        <v>236</v>
      </c>
      <c r="G7" s="194" t="s">
        <v>232</v>
      </c>
      <c r="H7" s="195" t="s">
        <v>237</v>
      </c>
    </row>
    <row r="8" spans="1:8" ht="12.75">
      <c r="A8" s="196" t="s">
        <v>269</v>
      </c>
      <c r="B8" s="197"/>
      <c r="C8" s="196" t="s">
        <v>238</v>
      </c>
      <c r="D8" s="198"/>
      <c r="E8" s="199"/>
      <c r="F8" s="200"/>
      <c r="G8" s="201"/>
      <c r="H8" s="202"/>
    </row>
    <row r="9" spans="1:8" ht="16.5" customHeight="1">
      <c r="A9" s="196" t="s">
        <v>1</v>
      </c>
      <c r="B9" s="203"/>
      <c r="C9" s="196" t="s">
        <v>240</v>
      </c>
      <c r="D9" s="198"/>
      <c r="E9" s="199"/>
      <c r="F9" s="200"/>
      <c r="G9" s="201"/>
      <c r="H9" s="204"/>
    </row>
    <row r="10" spans="1:8" ht="12.75">
      <c r="A10" s="196" t="s">
        <v>4</v>
      </c>
      <c r="B10" s="203"/>
      <c r="C10" s="196" t="s">
        <v>241</v>
      </c>
      <c r="D10" s="198"/>
      <c r="E10" s="205"/>
      <c r="F10" s="200"/>
      <c r="G10" s="201"/>
      <c r="H10" s="204"/>
    </row>
    <row r="11" spans="1:8" ht="12.75">
      <c r="A11" s="196" t="s">
        <v>5</v>
      </c>
      <c r="B11" s="203"/>
      <c r="C11" s="335"/>
      <c r="D11" s="198"/>
      <c r="E11" s="205"/>
      <c r="F11" s="200"/>
      <c r="G11" s="201"/>
      <c r="H11" s="204"/>
    </row>
    <row r="12" spans="1:8" ht="12.75">
      <c r="A12" s="196" t="s">
        <v>242</v>
      </c>
      <c r="B12" s="203"/>
      <c r="C12" s="206" t="s">
        <v>243</v>
      </c>
      <c r="D12" s="235"/>
      <c r="E12" s="207"/>
      <c r="F12" s="200"/>
      <c r="G12" s="201"/>
      <c r="H12" s="204"/>
    </row>
    <row r="13" spans="1:8" ht="12.75">
      <c r="A13" s="208" t="s">
        <v>244</v>
      </c>
      <c r="B13" s="203"/>
      <c r="C13" s="196" t="s">
        <v>245</v>
      </c>
      <c r="D13" s="198"/>
      <c r="E13" s="209"/>
      <c r="F13" s="200"/>
      <c r="G13" s="201"/>
      <c r="H13" s="204"/>
    </row>
    <row r="14" spans="1:8" ht="13.5" thickBot="1">
      <c r="A14" s="210" t="s">
        <v>239</v>
      </c>
      <c r="B14" s="211"/>
      <c r="C14" s="212"/>
      <c r="D14" s="213"/>
      <c r="E14" s="214"/>
      <c r="F14" s="215"/>
      <c r="G14" s="216"/>
      <c r="H14" s="217"/>
    </row>
    <row r="15" spans="1:8" ht="14.25" thickBot="1" thickTop="1">
      <c r="A15" s="218" t="s">
        <v>246</v>
      </c>
      <c r="B15" s="219">
        <f>SUM(B8:B13)</f>
        <v>0</v>
      </c>
      <c r="C15" s="350" t="s">
        <v>0</v>
      </c>
      <c r="D15" s="351"/>
      <c r="E15" s="351"/>
      <c r="F15" s="351"/>
      <c r="G15" s="220">
        <f>SUM(G8:G14)</f>
        <v>0</v>
      </c>
      <c r="H15" s="221">
        <f>SUM(H8:H13)</f>
        <v>0</v>
      </c>
    </row>
    <row r="16" ht="13.5" thickTop="1"/>
    <row r="17" spans="1:8" ht="12.75">
      <c r="A17" s="338" t="s">
        <v>279</v>
      </c>
      <c r="B17" s="339"/>
      <c r="C17" s="339"/>
      <c r="D17" s="339"/>
      <c r="E17" s="339"/>
      <c r="F17" s="339"/>
      <c r="G17" s="339"/>
      <c r="H17" s="339"/>
    </row>
    <row r="22" ht="12.75">
      <c r="A22" s="1"/>
    </row>
    <row r="24" ht="12.75">
      <c r="A24" s="1"/>
    </row>
    <row r="26" ht="12.75">
      <c r="A26" s="1"/>
    </row>
    <row r="28" ht="12.75">
      <c r="A28" s="1"/>
    </row>
    <row r="30" ht="12.75">
      <c r="A30" s="1"/>
    </row>
    <row r="32" ht="12.75">
      <c r="A32" s="1"/>
    </row>
    <row r="34" ht="12.75">
      <c r="A34" s="1"/>
    </row>
    <row r="35" ht="12.75">
      <c r="A35" s="1"/>
    </row>
    <row r="36" ht="12.75">
      <c r="A36" s="1"/>
    </row>
    <row r="38" ht="12.75">
      <c r="A38" s="1"/>
    </row>
  </sheetData>
  <sheetProtection/>
  <mergeCells count="7">
    <mergeCell ref="A17:H17"/>
    <mergeCell ref="A2:H2"/>
    <mergeCell ref="B3:E3"/>
    <mergeCell ref="F3:G3"/>
    <mergeCell ref="A5:B5"/>
    <mergeCell ref="C5:H5"/>
    <mergeCell ref="C15:F15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20.140625" style="0" bestFit="1" customWidth="1"/>
    <col min="2" max="2" width="12.8515625" style="67" customWidth="1"/>
    <col min="3" max="3" width="27.57421875" style="0" customWidth="1"/>
    <col min="4" max="4" width="17.7109375" style="0" customWidth="1"/>
    <col min="5" max="5" width="13.421875" style="67" customWidth="1"/>
    <col min="6" max="6" width="15.421875" style="0" customWidth="1"/>
    <col min="7" max="7" width="5.00390625" style="0" customWidth="1"/>
    <col min="8" max="8" width="4.421875" style="0" customWidth="1"/>
    <col min="22" max="22" width="9.28125" style="0" customWidth="1"/>
  </cols>
  <sheetData>
    <row r="1" spans="1:8" ht="18">
      <c r="A1" s="122"/>
      <c r="B1" s="43" t="s">
        <v>143</v>
      </c>
      <c r="C1" s="44"/>
      <c r="D1" s="44"/>
      <c r="E1" s="45"/>
      <c r="F1" s="46"/>
      <c r="G1" s="47"/>
      <c r="H1" s="47"/>
    </row>
    <row r="2" spans="1:6" ht="12.75">
      <c r="A2" s="48" t="s">
        <v>144</v>
      </c>
      <c r="B2" s="49"/>
      <c r="C2" s="50"/>
      <c r="D2" s="50"/>
      <c r="E2" s="51"/>
      <c r="F2" s="52"/>
    </row>
    <row r="3" spans="1:6" ht="37.5" customHeight="1">
      <c r="A3" s="421" t="s">
        <v>145</v>
      </c>
      <c r="B3" s="422"/>
      <c r="C3" s="422"/>
      <c r="D3" s="422"/>
      <c r="E3" s="422"/>
      <c r="F3" s="423"/>
    </row>
    <row r="4" spans="1:6" ht="28.5" customHeight="1">
      <c r="A4" s="424" t="s">
        <v>169</v>
      </c>
      <c r="B4" s="425"/>
      <c r="C4" s="425"/>
      <c r="D4" s="425"/>
      <c r="E4" s="425"/>
      <c r="F4" s="426"/>
    </row>
    <row r="5" spans="1:6" ht="15.75">
      <c r="A5" s="53"/>
      <c r="B5" s="51"/>
      <c r="C5" s="54" t="s">
        <v>146</v>
      </c>
      <c r="D5" s="54"/>
      <c r="E5" s="51"/>
      <c r="F5" s="52"/>
    </row>
    <row r="6" spans="1:6" ht="25.5">
      <c r="A6" s="53"/>
      <c r="B6" s="49" t="s">
        <v>147</v>
      </c>
      <c r="C6" s="55"/>
      <c r="D6" s="55"/>
      <c r="E6" s="49" t="s">
        <v>148</v>
      </c>
      <c r="F6" s="52"/>
    </row>
    <row r="7" spans="1:6" ht="51" customHeight="1">
      <c r="A7" s="53"/>
      <c r="B7" s="113"/>
      <c r="C7" s="56" t="str">
        <f>' Cash Flow Yr 1'!A14</f>
        <v>Cost of Goods Sold</v>
      </c>
      <c r="D7" s="56"/>
      <c r="E7" s="113">
        <v>0</v>
      </c>
      <c r="F7" s="52"/>
    </row>
    <row r="8" spans="1:6" ht="51" customHeight="1">
      <c r="A8" s="53"/>
      <c r="B8" s="113">
        <v>0</v>
      </c>
      <c r="C8" s="56" t="str">
        <f>' Cash Flow Yr 1'!A15</f>
        <v>Gross Wages</v>
      </c>
      <c r="D8" s="56"/>
      <c r="E8" s="113"/>
      <c r="F8" s="52"/>
    </row>
    <row r="9" spans="1:6" ht="51" customHeight="1">
      <c r="A9" s="53"/>
      <c r="B9" s="113"/>
      <c r="C9" s="56" t="str">
        <f>' Cash Flow Yr 1'!A16</f>
        <v>Payroll Expense</v>
      </c>
      <c r="D9" s="56"/>
      <c r="E9" s="113"/>
      <c r="F9" s="52"/>
    </row>
    <row r="10" spans="1:6" ht="51" customHeight="1">
      <c r="A10" s="53"/>
      <c r="B10" s="93"/>
      <c r="C10" s="56" t="str">
        <f>' Cash Flow Yr 1'!A17</f>
        <v>Supplies (office &amp; operating)</v>
      </c>
      <c r="D10" s="56"/>
      <c r="E10" s="113"/>
      <c r="F10" s="52"/>
    </row>
    <row r="11" spans="1:6" ht="51" customHeight="1">
      <c r="A11" s="53"/>
      <c r="B11" s="93"/>
      <c r="C11" s="56" t="str">
        <f>' Cash Flow Yr 1'!A18</f>
        <v>Repairs and Maintenance</v>
      </c>
      <c r="D11" s="56"/>
      <c r="E11" s="113"/>
      <c r="F11" s="52"/>
    </row>
    <row r="12" spans="1:6" ht="51" customHeight="1">
      <c r="A12" s="53"/>
      <c r="B12" s="113"/>
      <c r="C12" s="56" t="str">
        <f>' Cash Flow Yr 1'!A19</f>
        <v>Advertising</v>
      </c>
      <c r="D12" s="56"/>
      <c r="E12" s="132"/>
      <c r="F12" s="52"/>
    </row>
    <row r="13" spans="1:6" ht="51" customHeight="1">
      <c r="A13" s="53"/>
      <c r="B13" s="93"/>
      <c r="C13" s="56" t="str">
        <f>' Cash Flow Yr 1'!A20</f>
        <v>Car, Delivery, and Travel</v>
      </c>
      <c r="D13" s="56"/>
      <c r="E13" s="113"/>
      <c r="F13" s="52"/>
    </row>
    <row r="14" spans="1:6" ht="51" customHeight="1">
      <c r="A14" s="53"/>
      <c r="B14" s="113"/>
      <c r="C14" s="56" t="str">
        <f>' Cash Flow Yr 1'!A21</f>
        <v>Accounting and Legal</v>
      </c>
      <c r="D14" s="56"/>
      <c r="E14" s="113"/>
      <c r="F14" s="52"/>
    </row>
    <row r="15" spans="1:6" ht="51" customHeight="1">
      <c r="A15" s="53"/>
      <c r="B15" s="113"/>
      <c r="C15" s="56" t="str">
        <f>' Cash Flow Yr 1'!A23</f>
        <v>Phone/Internet</v>
      </c>
      <c r="D15" s="56"/>
      <c r="E15" s="113"/>
      <c r="F15" s="52"/>
    </row>
    <row r="16" spans="1:6" ht="51" customHeight="1">
      <c r="A16" s="53"/>
      <c r="B16" s="113"/>
      <c r="C16" s="56" t="str">
        <f>' Cash Flow Yr 1'!A24</f>
        <v>Utilities</v>
      </c>
      <c r="D16" s="56"/>
      <c r="E16" s="113"/>
      <c r="F16" s="52"/>
    </row>
    <row r="17" spans="1:6" ht="51" customHeight="1">
      <c r="A17" s="53"/>
      <c r="B17" s="113"/>
      <c r="C17" s="56" t="str">
        <f>' Cash Flow Yr 1'!A25</f>
        <v>Insurance</v>
      </c>
      <c r="D17" s="56"/>
      <c r="E17" s="113"/>
      <c r="F17" s="52"/>
    </row>
    <row r="18" spans="1:6" ht="51" customHeight="1">
      <c r="A18" s="53"/>
      <c r="B18" s="113"/>
      <c r="C18" s="56" t="str">
        <f>' Cash Flow Yr 1'!A26</f>
        <v>Interest-Bank *</v>
      </c>
      <c r="D18" s="56"/>
      <c r="E18" s="113"/>
      <c r="F18" s="52"/>
    </row>
    <row r="19" spans="1:6" ht="51" customHeight="1">
      <c r="A19" s="53"/>
      <c r="B19" s="113"/>
      <c r="C19" s="56" t="str">
        <f>' Cash Flow Yr 1'!A28</f>
        <v>Misc.</v>
      </c>
      <c r="D19" s="56"/>
      <c r="E19" s="93"/>
      <c r="F19" s="52"/>
    </row>
    <row r="20" spans="1:6" ht="51" customHeight="1">
      <c r="A20" s="53"/>
      <c r="B20" s="93">
        <v>0</v>
      </c>
      <c r="C20" s="56" t="str">
        <f>' Cash Flow Yr 1'!A29</f>
        <v>Other Expenses</v>
      </c>
      <c r="D20" s="56"/>
      <c r="E20" s="93"/>
      <c r="F20" s="52"/>
    </row>
    <row r="21" spans="1:6" ht="12.75" customHeight="1">
      <c r="A21" s="53"/>
      <c r="B21" s="93">
        <f>' Cash Flow Yr 1'!O31</f>
        <v>0</v>
      </c>
      <c r="C21" s="56" t="str">
        <f>' Cash Flow Yr 1'!A31</f>
        <v>Loan Principal Payment-Bank *</v>
      </c>
      <c r="D21" s="56"/>
      <c r="E21" s="93"/>
      <c r="F21" s="57"/>
    </row>
    <row r="22" spans="1:6" ht="12.75" customHeight="1">
      <c r="A22" s="53"/>
      <c r="B22" s="93">
        <f>' Cash Flow Yr 1'!O32</f>
        <v>0</v>
      </c>
      <c r="C22" s="56" t="str">
        <f>' Cash Flow Yr 1'!A32</f>
        <v>Loan Principal Payment-Gap **</v>
      </c>
      <c r="D22" s="56"/>
      <c r="E22" s="93"/>
      <c r="F22" s="57"/>
    </row>
    <row r="23" spans="1:6" ht="12.75" customHeight="1">
      <c r="A23" s="48"/>
      <c r="B23" s="93">
        <f>' Cash Flow Yr 1'!O33</f>
        <v>0</v>
      </c>
      <c r="C23" s="56" t="str">
        <f>' Cash Flow Yr 1'!A33</f>
        <v>Capital Purchases</v>
      </c>
      <c r="D23" s="56"/>
      <c r="E23" s="93"/>
      <c r="F23" s="57"/>
    </row>
    <row r="24" spans="1:6" ht="12.75" customHeight="1">
      <c r="A24" s="48"/>
      <c r="B24" s="93">
        <f>' Cash Flow Yr 1'!O35</f>
        <v>0</v>
      </c>
      <c r="C24" s="56" t="str">
        <f>' Cash Flow Yr 1'!A35</f>
        <v>Income Tax Reserve</v>
      </c>
      <c r="D24" s="56"/>
      <c r="E24" s="93"/>
      <c r="F24" s="59"/>
    </row>
    <row r="25" spans="1:6" ht="12.75" customHeight="1">
      <c r="A25" s="48"/>
      <c r="B25" s="93">
        <f>' Cash Flow Yr 1'!O36</f>
        <v>0</v>
      </c>
      <c r="C25" s="56" t="str">
        <f>' Cash Flow Yr 1'!A36</f>
        <v>Owners Withdrawal</v>
      </c>
      <c r="D25" s="56"/>
      <c r="E25" s="93"/>
      <c r="F25" s="60"/>
    </row>
    <row r="26" spans="1:7" ht="15" customHeight="1">
      <c r="A26" s="48"/>
      <c r="B26" s="93"/>
      <c r="C26" s="58"/>
      <c r="D26" s="58"/>
      <c r="E26" s="97"/>
      <c r="F26" s="57"/>
      <c r="G26" s="27"/>
    </row>
    <row r="27" spans="1:7" ht="15" customHeight="1">
      <c r="A27" s="48"/>
      <c r="B27" s="93"/>
      <c r="C27" s="55"/>
      <c r="D27" s="55"/>
      <c r="E27" s="97"/>
      <c r="F27" s="57"/>
      <c r="G27" s="27"/>
    </row>
    <row r="28" spans="1:7" ht="15" customHeight="1">
      <c r="A28" s="48"/>
      <c r="B28" s="93"/>
      <c r="C28" s="56"/>
      <c r="D28" s="56"/>
      <c r="E28" s="97"/>
      <c r="F28" s="61"/>
      <c r="G28" s="27"/>
    </row>
    <row r="29" spans="1:6" ht="15" customHeight="1">
      <c r="A29" s="53"/>
      <c r="B29" s="93"/>
      <c r="C29" s="58"/>
      <c r="D29" s="58"/>
      <c r="E29" s="97"/>
      <c r="F29" s="52"/>
    </row>
    <row r="30" spans="1:6" s="6" customFormat="1" ht="13.5" thickBot="1">
      <c r="A30" s="48" t="s">
        <v>149</v>
      </c>
      <c r="B30" s="133">
        <f>SUM(B7:B28)</f>
        <v>0</v>
      </c>
      <c r="C30" s="50" t="s">
        <v>150</v>
      </c>
      <c r="D30" s="50"/>
      <c r="E30" s="96">
        <f>SUM(E7:E29)</f>
        <v>0</v>
      </c>
      <c r="F30" s="61"/>
    </row>
    <row r="31" spans="1:6" ht="13.5" thickTop="1">
      <c r="A31" s="53"/>
      <c r="B31" s="94"/>
      <c r="C31" s="55"/>
      <c r="D31" s="55"/>
      <c r="E31" s="51"/>
      <c r="F31" s="52"/>
    </row>
    <row r="32" spans="1:6" ht="12.75">
      <c r="A32" s="53"/>
      <c r="B32" s="94"/>
      <c r="C32" s="62" t="s">
        <v>151</v>
      </c>
      <c r="D32" s="62"/>
      <c r="E32" s="63" t="e">
        <f>1-(E30/'Income Stmt'!C6)</f>
        <v>#DIV/0!</v>
      </c>
      <c r="F32" s="64"/>
    </row>
    <row r="33" spans="1:6" ht="12.75">
      <c r="A33" s="53"/>
      <c r="B33" s="94"/>
      <c r="C33" s="55"/>
      <c r="D33" s="55"/>
      <c r="E33" s="51"/>
      <c r="F33" s="65"/>
    </row>
    <row r="34" spans="1:6" ht="15.75">
      <c r="A34" s="66" t="s">
        <v>152</v>
      </c>
      <c r="B34" s="94"/>
      <c r="C34" s="55"/>
      <c r="D34" s="55"/>
      <c r="E34" s="51"/>
      <c r="F34" s="65"/>
    </row>
    <row r="35" spans="1:6" ht="16.5" thickBot="1">
      <c r="A35" s="89" t="s">
        <v>165</v>
      </c>
      <c r="B35" s="95" t="e">
        <f>B30/E32</f>
        <v>#DIV/0!</v>
      </c>
      <c r="C35" s="90"/>
      <c r="D35" s="90"/>
      <c r="E35" s="91"/>
      <c r="F35" s="92"/>
    </row>
    <row r="36" spans="1:6" ht="15.75">
      <c r="A36" s="84"/>
      <c r="B36" s="87"/>
      <c r="C36" s="62"/>
      <c r="D36" s="62"/>
      <c r="E36" s="51"/>
      <c r="F36" s="88"/>
    </row>
    <row r="37" spans="1:7" ht="12.75">
      <c r="A37" s="53"/>
      <c r="B37" s="51"/>
      <c r="C37" s="55"/>
      <c r="D37" s="55"/>
      <c r="E37" s="51"/>
      <c r="F37" s="55"/>
      <c r="G37" s="55"/>
    </row>
    <row r="38" spans="2:5" ht="12.75">
      <c r="B38"/>
      <c r="E38"/>
    </row>
  </sheetData>
  <sheetProtection/>
  <mergeCells count="2">
    <mergeCell ref="A3:F3"/>
    <mergeCell ref="A4:F4"/>
  </mergeCells>
  <printOptions horizontalCentered="1" verticalCentered="1"/>
  <pageMargins left="0.96" right="0.62" top="0.41" bottom="0.2" header="0.19" footer="0.18"/>
  <pageSetup fitToWidth="2" horizontalDpi="300" verticalDpi="300" orientation="portrait" scale="66" r:id="rId2"/>
  <headerFooter alignWithMargins="0">
    <oddHeader xml:space="preserve">&amp;C&amp;"Arial,Bold"&amp;12BREAK-EVEN ANALYSIS </oddHeader>
  </headerFooter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M41"/>
  <sheetViews>
    <sheetView zoomScaleSheetLayoutView="100" zoomScalePageLayoutView="0" workbookViewId="0" topLeftCell="A13">
      <selection activeCell="C14" sqref="C14"/>
    </sheetView>
  </sheetViews>
  <sheetFormatPr defaultColWidth="9.140625" defaultRowHeight="12.75"/>
  <cols>
    <col min="1" max="1" width="28.28125" style="0" bestFit="1" customWidth="1"/>
    <col min="2" max="4" width="12.8515625" style="0" customWidth="1"/>
    <col min="5" max="10" width="10.8515625" style="0" bestFit="1" customWidth="1"/>
    <col min="11" max="11" width="10.8515625" style="0" customWidth="1"/>
    <col min="12" max="13" width="10.8515625" style="0" bestFit="1" customWidth="1"/>
  </cols>
  <sheetData>
    <row r="1" spans="1:13" ht="12.75">
      <c r="A1" s="98" t="s">
        <v>172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2.75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2"/>
    </row>
    <row r="3" spans="1:13" ht="12.75">
      <c r="A3" s="5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2"/>
    </row>
    <row r="4" spans="1:13" ht="13.5" thickBot="1">
      <c r="A4" s="106" t="s">
        <v>158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 ht="15.75" customHeight="1">
      <c r="A5" s="53"/>
      <c r="B5" s="55" t="s">
        <v>102</v>
      </c>
      <c r="C5" s="55" t="s">
        <v>103</v>
      </c>
      <c r="D5" s="55" t="s">
        <v>104</v>
      </c>
      <c r="E5" s="55" t="s">
        <v>105</v>
      </c>
      <c r="F5" s="55" t="s">
        <v>106</v>
      </c>
      <c r="G5" s="55" t="s">
        <v>107</v>
      </c>
      <c r="H5" s="55" t="s">
        <v>108</v>
      </c>
      <c r="I5" s="55" t="s">
        <v>109</v>
      </c>
      <c r="J5" s="55" t="s">
        <v>110</v>
      </c>
      <c r="K5" s="55" t="s">
        <v>111</v>
      </c>
      <c r="L5" s="55" t="s">
        <v>112</v>
      </c>
      <c r="M5" s="52" t="s">
        <v>113</v>
      </c>
    </row>
    <row r="6" spans="1:13" ht="12.75">
      <c r="A6" s="53" t="s">
        <v>160</v>
      </c>
      <c r="B6" s="85">
        <f>Breakeven!$E7*B18+Breakeven!$E8*B19+Breakeven!$E9*B20+Breakeven!$E10*B21+Breakeven!$E11*B22+Breakeven!$E12*B23+Breakeven!$E13*B24+Breakeven!$E14*B25+Breakeven!$E15*B26+Breakeven!$E16*B27+Breakeven!$E17*B28+Breakeven!$E18*B29+Breakeven!$E19*B31+Breakeven!$E20*B32+Breakeven!$E21*B33+Breakeven!$E23*B35+Breakeven!$E24*B36+Breakeven!$E25*B37</f>
        <v>0</v>
      </c>
      <c r="C6" s="85">
        <f>Breakeven!$E7*C18+Breakeven!$E8*C19+Breakeven!$E9*C20+Breakeven!$E10*C21+Breakeven!$E11*C22+Breakeven!$E12*C23+Breakeven!$E13*C24+Breakeven!$E14*C25+Breakeven!$E15*C26+Breakeven!$E16*C27+Breakeven!$E17*C28+Breakeven!$E18*C29+Breakeven!$E19*C31+Breakeven!$E20*C32+Breakeven!$E21*C33+Breakeven!$E23*C35+Breakeven!$E24*C36+Breakeven!$E25*C37</f>
        <v>0</v>
      </c>
      <c r="D6" s="85">
        <f>Breakeven!$E7*D18+Breakeven!$E8*D19+Breakeven!$E9*D20+Breakeven!$E10*D21+Breakeven!$E11*D22+Breakeven!$E12*D23+Breakeven!$E13*D24+Breakeven!$E14*D25+Breakeven!$E15*D26+Breakeven!$E16*D27+Breakeven!$E17*D28+Breakeven!$E18*D29+Breakeven!$E19*D31+Breakeven!$E20*D32+Breakeven!$E21*D33+Breakeven!$E23*D35+Breakeven!$E24*D36+Breakeven!$E25*D37</f>
        <v>0</v>
      </c>
      <c r="E6" s="85">
        <f>Breakeven!$E7*E18+Breakeven!$E8*E19+Breakeven!$E9*E20+Breakeven!$E10*E21+Breakeven!$E11*E22+Breakeven!$E12*E23+Breakeven!$E13*E24+Breakeven!$E14*E25+Breakeven!$E15*E26+Breakeven!$E16*E27+Breakeven!$E17*E28+Breakeven!$E18*E29+Breakeven!$E19*E31+Breakeven!$E20*E32+Breakeven!$E21*E33+Breakeven!$E23*E35+Breakeven!$E24*E36+Breakeven!$E25*E37</f>
        <v>0</v>
      </c>
      <c r="F6" s="85">
        <f>Breakeven!$E7*F18+Breakeven!$E8*F19+Breakeven!$E9*F20+Breakeven!$E10*F21+Breakeven!$E11*F22+Breakeven!$E12*F23+Breakeven!$E13*F24+Breakeven!$E14*F25+Breakeven!$E15*F26+Breakeven!$E16*F27+Breakeven!$E17*F28+Breakeven!$E18*F29+Breakeven!$E19*F31+Breakeven!$E20*F32+Breakeven!$E21*F33+Breakeven!$E23*F35+Breakeven!$E24*F36+Breakeven!$E25*F37</f>
        <v>0</v>
      </c>
      <c r="G6" s="85">
        <f>Breakeven!$E7*G18+Breakeven!$E8*G19+Breakeven!$E9*G20+Breakeven!$E10*G21+Breakeven!$E11*G22+Breakeven!$E12*G23+Breakeven!$E13*G24+Breakeven!$E14*G25+Breakeven!$E15*G26+Breakeven!$E16*G27+Breakeven!$E17*G28+Breakeven!$E18*G29+Breakeven!$E19*G31+Breakeven!$E20*G32+Breakeven!$E21*G33+Breakeven!$E23*G35+Breakeven!$E24*G36+Breakeven!$E25*G37</f>
        <v>0</v>
      </c>
      <c r="H6" s="85">
        <f>Breakeven!$E7*H18+Breakeven!$E8*H19+Breakeven!$E9*H20+Breakeven!$E10*H21+Breakeven!$E11*H22+Breakeven!$E12*H23+Breakeven!$E13*H24+Breakeven!$E14*H25+Breakeven!$E15*H26+Breakeven!$E16*H27+Breakeven!$E17*H28+Breakeven!$E18*H29+Breakeven!$E19*H31+Breakeven!$E20*H32+Breakeven!$E21*H33+Breakeven!$E23*H35+Breakeven!$E24*H36+Breakeven!$E25*H37</f>
        <v>0</v>
      </c>
      <c r="I6" s="85">
        <f>Breakeven!$E7*I18+Breakeven!$E8*I19+Breakeven!$E9*I20+Breakeven!$E10*I21+Breakeven!$E11*I22+Breakeven!$E12*I23+Breakeven!$E13*I24+Breakeven!$E14*I25+Breakeven!$E15*I26+Breakeven!$E16*I27+Breakeven!$E17*I28+Breakeven!$E18*I29+Breakeven!$E19*I31+Breakeven!$E20*I32+Breakeven!$E21*I33+Breakeven!$E23*I35+Breakeven!$E24*I36+Breakeven!$E25*I37</f>
        <v>0</v>
      </c>
      <c r="J6" s="85">
        <f>Breakeven!$E7*J18+Breakeven!$E8*J19+Breakeven!$E9*J20+Breakeven!$E10*J21+Breakeven!$E11*J22+Breakeven!$E12*J23+Breakeven!$E13*J24+Breakeven!$E14*J25+Breakeven!$E15*J26+Breakeven!$E16*J27+Breakeven!$E17*J28+Breakeven!$E18*J29+Breakeven!$E19*J31+Breakeven!$E20*J32+Breakeven!$E21*J33+Breakeven!$E23*J35+Breakeven!$E24*J36+Breakeven!$E25*J37</f>
        <v>0</v>
      </c>
      <c r="K6" s="85">
        <f>Breakeven!$E7*K18+Breakeven!$E8*K19+Breakeven!$E9*K20+Breakeven!$E10*K21+Breakeven!$E11*K22+Breakeven!$E12*K23+Breakeven!$E13*K24+Breakeven!$E14*K25+Breakeven!$E15*K26+Breakeven!$E16*K27+Breakeven!$E17*K28+Breakeven!$E18*K29+Breakeven!$E19*K31+Breakeven!$E20*K32+Breakeven!$E21*K33+Breakeven!$E23*K35+Breakeven!$E24*K36+Breakeven!$E25*K37</f>
        <v>0</v>
      </c>
      <c r="L6" s="85">
        <f>Breakeven!$E7*L18+Breakeven!$E8*L19+Breakeven!$E9*L20+Breakeven!$E10*L21+Breakeven!$E11*L22+Breakeven!$E12*L23+Breakeven!$E13*L24+Breakeven!$E14*L25+Breakeven!$E15*L26+Breakeven!$E16*L27+Breakeven!$E17*L28+Breakeven!$E18*L29+Breakeven!$E19*L31+Breakeven!$E20*L32+Breakeven!$E21*L33+Breakeven!$E23*L35+Breakeven!$E24*L36+Breakeven!$E25*L37</f>
        <v>0</v>
      </c>
      <c r="M6" s="101">
        <f>Breakeven!$E7*M18+Breakeven!$E8*M19+Breakeven!$E9*M20+Breakeven!$E10*M21+Breakeven!$E11*M22+Breakeven!$E12*M23+Breakeven!$E13*M24+Breakeven!$E14*M25+Breakeven!$E15*M26+Breakeven!$E16*M27+Breakeven!$E17*M28+Breakeven!$E18*M29+Breakeven!$E19*M31+Breakeven!$E20*M32+Breakeven!$E21*M33+Breakeven!$E23*M35+Breakeven!$E24*M36+Breakeven!$E25*M37</f>
        <v>0</v>
      </c>
    </row>
    <row r="7" spans="1:13" ht="12.75">
      <c r="A7" s="53" t="s">
        <v>151</v>
      </c>
      <c r="B7" s="86" t="e">
        <f>(' Cash Flow Yr 1'!C8-MonthlyBreakeven!B6)/' Cash Flow Yr 1'!C8</f>
        <v>#DIV/0!</v>
      </c>
      <c r="C7" s="86" t="e">
        <f>(' Cash Flow Yr 1'!D8-MonthlyBreakeven!C6)/' Cash Flow Yr 1'!D8</f>
        <v>#DIV/0!</v>
      </c>
      <c r="D7" s="86" t="e">
        <f>(' Cash Flow Yr 1'!E8-MonthlyBreakeven!D6)/' Cash Flow Yr 1'!E8</f>
        <v>#DIV/0!</v>
      </c>
      <c r="E7" s="86" t="e">
        <f>(' Cash Flow Yr 1'!F8-MonthlyBreakeven!E6)/' Cash Flow Yr 1'!F8</f>
        <v>#DIV/0!</v>
      </c>
      <c r="F7" s="86" t="e">
        <f>(' Cash Flow Yr 1'!G8-MonthlyBreakeven!F6)/' Cash Flow Yr 1'!G8</f>
        <v>#DIV/0!</v>
      </c>
      <c r="G7" s="86" t="e">
        <f>(' Cash Flow Yr 1'!H8-MonthlyBreakeven!G6)/' Cash Flow Yr 1'!H8</f>
        <v>#DIV/0!</v>
      </c>
      <c r="H7" s="86" t="e">
        <f>(' Cash Flow Yr 1'!I8-MonthlyBreakeven!H6)/' Cash Flow Yr 1'!I8</f>
        <v>#DIV/0!</v>
      </c>
      <c r="I7" s="86" t="e">
        <f>(' Cash Flow Yr 1'!J8-MonthlyBreakeven!I6)/' Cash Flow Yr 1'!J8</f>
        <v>#DIV/0!</v>
      </c>
      <c r="J7" s="86" t="e">
        <f>(' Cash Flow Yr 1'!K8-MonthlyBreakeven!J6)/' Cash Flow Yr 1'!K8</f>
        <v>#DIV/0!</v>
      </c>
      <c r="K7" s="86" t="e">
        <f>(' Cash Flow Yr 1'!L8-MonthlyBreakeven!K6)/' Cash Flow Yr 1'!L8</f>
        <v>#DIV/0!</v>
      </c>
      <c r="L7" s="86" t="e">
        <f>(' Cash Flow Yr 1'!M8-MonthlyBreakeven!L6)/' Cash Flow Yr 1'!M8</f>
        <v>#DIV/0!</v>
      </c>
      <c r="M7" s="102" t="e">
        <f>(' Cash Flow Yr 1'!N8-MonthlyBreakeven!M6)/' Cash Flow Yr 1'!N8</f>
        <v>#DIV/0!</v>
      </c>
    </row>
    <row r="8" spans="1:13" ht="13.5" thickBot="1">
      <c r="A8" s="103" t="s">
        <v>161</v>
      </c>
      <c r="B8" s="109">
        <f>Breakeven!$B7*B18+Breakeven!$B8*B19+Breakeven!$B9*B20+Breakeven!$B10*B21+Breakeven!$B11*B22+Breakeven!$B12*B23+Breakeven!$B13*B24+Breakeven!$B14*B25+Breakeven!$B15*B26+Breakeven!$B16*B27+Breakeven!$B17*B28+Breakeven!$B18*B29+Breakeven!$B19*B31+Breakeven!$B20*B32+Breakeven!$B21*B33+Breakeven!$B23*B35+Breakeven!$B24*B36+Breakeven!$B25*B37</f>
        <v>0</v>
      </c>
      <c r="C8" s="109">
        <f>Breakeven!$B7*C18+Breakeven!$B8*C19+Breakeven!$B9*C20+Breakeven!$B10*C21+Breakeven!$B11*C22+Breakeven!$B12*C23+Breakeven!$B13*C24+Breakeven!$B14*C25+Breakeven!$B15*C26+Breakeven!$B16*C27+Breakeven!$B17*C28+Breakeven!$B18*C29+Breakeven!$B19*C31+Breakeven!$B20*C32+Breakeven!$B21*C33+Breakeven!$B23*C35+Breakeven!$B24*C36+Breakeven!$B25*C37</f>
        <v>0</v>
      </c>
      <c r="D8" s="109">
        <f>Breakeven!$B7*D18+Breakeven!$B8*D19+Breakeven!$B9*D20+Breakeven!$B10*D21+Breakeven!$B11*D22+Breakeven!$B12*D23+Breakeven!$B13*D24+Breakeven!$B14*D25+Breakeven!$B15*D26+Breakeven!$B16*D27+Breakeven!$B17*D28+Breakeven!$B18*D29+Breakeven!$B19*D31+Breakeven!$B20*D32+Breakeven!$B21*D33+Breakeven!$B23*D35+Breakeven!$B24*D36+Breakeven!$B25*D37</f>
        <v>0</v>
      </c>
      <c r="E8" s="109">
        <f>Breakeven!$B7*E18+Breakeven!$B8*E19+Breakeven!$B9*E20+Breakeven!$B10*E21+Breakeven!$B11*E22+Breakeven!$B12*E23+Breakeven!$B13*E24+Breakeven!$B14*E25+Breakeven!$B15*E26+Breakeven!$B16*E27+Breakeven!$B17*E28+Breakeven!$B18*E29+Breakeven!$B19*E31+Breakeven!$B20*E32+Breakeven!$B21*E33+Breakeven!$B23*E35+Breakeven!$B24*E36+Breakeven!$B25*E37</f>
        <v>0</v>
      </c>
      <c r="F8" s="109">
        <f>Breakeven!$B7*F18+Breakeven!$B8*F19+Breakeven!$B9*F20+Breakeven!$B10*F21+Breakeven!$B11*F22+Breakeven!$B12*F23+Breakeven!$B13*F24+Breakeven!$B14*F25+Breakeven!$B15*F26+Breakeven!$B16*F27+Breakeven!$B17*F28+Breakeven!$B18*F29+Breakeven!$B19*F31+Breakeven!$B20*F32+Breakeven!$B21*F33+Breakeven!$B23*F35+Breakeven!$B24*F36+Breakeven!$B25*F37</f>
        <v>0</v>
      </c>
      <c r="G8" s="109">
        <f>Breakeven!$B7*G18+Breakeven!$B8*G19+Breakeven!$B9*G20+Breakeven!$B10*G21+Breakeven!$B11*G22+Breakeven!$B12*G23+Breakeven!$B13*G24+Breakeven!$B14*G25+Breakeven!$B15*G26+Breakeven!$B16*G27+Breakeven!$B17*G28+Breakeven!$B18*G29+Breakeven!$B19*G31+Breakeven!$B20*G32+Breakeven!$B21*G33+Breakeven!$B23*G35+Breakeven!$B24*G36+Breakeven!$B25*G37</f>
        <v>0</v>
      </c>
      <c r="H8" s="109">
        <f>Breakeven!$B7*H18+Breakeven!$B8*H19+Breakeven!$B9*H20+Breakeven!$B10*H21+Breakeven!$B11*H22+Breakeven!$B12*H23+Breakeven!$B13*H24+Breakeven!$B14*H25+Breakeven!$B15*H26+Breakeven!$B16*H27+Breakeven!$B17*H28+Breakeven!$B18*H29+Breakeven!$B19*H31+Breakeven!$B20*H32+Breakeven!$B21*H33+Breakeven!$B23*H35+Breakeven!$B24*H36+Breakeven!$B25*H37</f>
        <v>0</v>
      </c>
      <c r="I8" s="109">
        <f>Breakeven!$B7*I18+Breakeven!$B8*I19+Breakeven!$B9*I20+Breakeven!$B10*I21+Breakeven!$B11*I22+Breakeven!$B12*I23+Breakeven!$B13*I24+Breakeven!$B14*I25+Breakeven!$B15*I26+Breakeven!$B16*I27+Breakeven!$B17*I28+Breakeven!$B18*I29+Breakeven!$B19*I31+Breakeven!$B20*I32+Breakeven!$B21*I33+Breakeven!$B23*I35+Breakeven!$B24*I36+Breakeven!$B25*I37</f>
        <v>0</v>
      </c>
      <c r="J8" s="109">
        <f>Breakeven!$B7*J18+Breakeven!$B8*J19+Breakeven!$B9*J20+Breakeven!$B10*J21+Breakeven!$B11*J22+Breakeven!$B12*J23+Breakeven!$B13*J24+Breakeven!$B14*J25+Breakeven!$B15*J26+Breakeven!$B16*J27+Breakeven!$B17*J28+Breakeven!$B18*J29+Breakeven!$B19*J31+Breakeven!$B20*J32+Breakeven!$B21*J33+Breakeven!$B23*J35+Breakeven!$B24*J36+Breakeven!$B25*J37</f>
        <v>0</v>
      </c>
      <c r="K8" s="109">
        <f>Breakeven!$B7*K18+Breakeven!$B8*K19+Breakeven!$B9*K20+Breakeven!$B10*K21+Breakeven!$B11*K22+Breakeven!$B12*K23+Breakeven!$B13*K24+Breakeven!$B14*K25+Breakeven!$B15*K26+Breakeven!$B16*K27+Breakeven!$B17*K28+Breakeven!$B18*K29+Breakeven!$B19*K31+Breakeven!$B20*K32+Breakeven!$B21*K33+Breakeven!$B23*K35+Breakeven!$B24*K36+Breakeven!$B25*K37</f>
        <v>0</v>
      </c>
      <c r="L8" s="109">
        <f>Breakeven!$B7*L18+Breakeven!$B8*L19+Breakeven!$B9*L20+Breakeven!$B10*L21+Breakeven!$B11*L22+Breakeven!$B12*L23+Breakeven!$B13*L24+Breakeven!$B14*L25+Breakeven!$B15*L26+Breakeven!$B16*L27+Breakeven!$B17*L28+Breakeven!$B18*L29+Breakeven!$B19*L31+Breakeven!$B20*L32+Breakeven!$B21*L33+Breakeven!$B23*L35+Breakeven!$B24*L36+Breakeven!$B25*L37</f>
        <v>0</v>
      </c>
      <c r="M8" s="110">
        <f>Breakeven!$B7*M18+Breakeven!$B8*M19+Breakeven!$B9*M20+Breakeven!$B10*M21+Breakeven!$B11*M22+Breakeven!$B12*M23+Breakeven!$B13*M24+Breakeven!$B14*M25+Breakeven!$B15*M26+Breakeven!$B16*M27+Breakeven!$B17*M28+Breakeven!$B18*M29+Breakeven!$B19*M31+Breakeven!$B20*M32+Breakeven!$B21*M33+Breakeven!$B23*M35+Breakeven!$B24*M36+Breakeven!$B25*M37</f>
        <v>0</v>
      </c>
    </row>
    <row r="9" spans="1:13" ht="13.5" thickBot="1">
      <c r="A9" s="111" t="s">
        <v>171</v>
      </c>
      <c r="B9" s="129" t="e">
        <f aca="true" t="shared" si="0" ref="B9:M9">B8/B7</f>
        <v>#DIV/0!</v>
      </c>
      <c r="C9" s="129" t="e">
        <f t="shared" si="0"/>
        <v>#DIV/0!</v>
      </c>
      <c r="D9" s="129" t="e">
        <f t="shared" si="0"/>
        <v>#DIV/0!</v>
      </c>
      <c r="E9" s="129" t="e">
        <f t="shared" si="0"/>
        <v>#DIV/0!</v>
      </c>
      <c r="F9" s="129" t="e">
        <f t="shared" si="0"/>
        <v>#DIV/0!</v>
      </c>
      <c r="G9" s="129" t="e">
        <f t="shared" si="0"/>
        <v>#DIV/0!</v>
      </c>
      <c r="H9" s="129" t="e">
        <f t="shared" si="0"/>
        <v>#DIV/0!</v>
      </c>
      <c r="I9" s="129" t="e">
        <f t="shared" si="0"/>
        <v>#DIV/0!</v>
      </c>
      <c r="J9" s="129" t="e">
        <f t="shared" si="0"/>
        <v>#DIV/0!</v>
      </c>
      <c r="K9" s="129" t="e">
        <f t="shared" si="0"/>
        <v>#DIV/0!</v>
      </c>
      <c r="L9" s="129" t="e">
        <f t="shared" si="0"/>
        <v>#DIV/0!</v>
      </c>
      <c r="M9" s="130" t="e">
        <f t="shared" si="0"/>
        <v>#DIV/0!</v>
      </c>
    </row>
    <row r="10" spans="1:13" ht="13.5" thickTop="1">
      <c r="A10" s="5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2"/>
    </row>
    <row r="11" spans="1:13" ht="13.5" thickBot="1">
      <c r="A11" s="112" t="s">
        <v>170</v>
      </c>
      <c r="B11" s="127" t="e">
        <f>B9/20</f>
        <v>#DIV/0!</v>
      </c>
      <c r="C11" s="127" t="e">
        <f aca="true" t="shared" si="1" ref="C11:M11">C9/20</f>
        <v>#DIV/0!</v>
      </c>
      <c r="D11" s="127" t="e">
        <f t="shared" si="1"/>
        <v>#DIV/0!</v>
      </c>
      <c r="E11" s="127" t="e">
        <f t="shared" si="1"/>
        <v>#DIV/0!</v>
      </c>
      <c r="F11" s="127" t="e">
        <f t="shared" si="1"/>
        <v>#DIV/0!</v>
      </c>
      <c r="G11" s="127" t="e">
        <f t="shared" si="1"/>
        <v>#DIV/0!</v>
      </c>
      <c r="H11" s="127" t="e">
        <f t="shared" si="1"/>
        <v>#DIV/0!</v>
      </c>
      <c r="I11" s="127" t="e">
        <f t="shared" si="1"/>
        <v>#DIV/0!</v>
      </c>
      <c r="J11" s="127" t="e">
        <f t="shared" si="1"/>
        <v>#DIV/0!</v>
      </c>
      <c r="K11" s="127" t="e">
        <f t="shared" si="1"/>
        <v>#DIV/0!</v>
      </c>
      <c r="L11" s="127" t="e">
        <f t="shared" si="1"/>
        <v>#DIV/0!</v>
      </c>
      <c r="M11" s="128" t="e">
        <f t="shared" si="1"/>
        <v>#DIV/0!</v>
      </c>
    </row>
    <row r="12" spans="1:13" ht="13.5" thickTop="1">
      <c r="A12" s="5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2"/>
    </row>
    <row r="13" spans="1:13" ht="12.75">
      <c r="A13" s="53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2"/>
    </row>
    <row r="14" spans="1:13" ht="13.5" thickBot="1">
      <c r="A14" s="104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3" ht="13.5" thickBot="1">
      <c r="A15" s="106" t="s">
        <v>166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1:13" ht="12.75">
      <c r="A16" s="48"/>
      <c r="B16" s="55" t="s">
        <v>102</v>
      </c>
      <c r="C16" s="55" t="s">
        <v>103</v>
      </c>
      <c r="D16" s="55" t="s">
        <v>104</v>
      </c>
      <c r="E16" s="55" t="s">
        <v>105</v>
      </c>
      <c r="F16" s="55" t="s">
        <v>106</v>
      </c>
      <c r="G16" s="55" t="s">
        <v>107</v>
      </c>
      <c r="H16" s="55" t="s">
        <v>108</v>
      </c>
      <c r="I16" s="55" t="s">
        <v>109</v>
      </c>
      <c r="J16" s="55" t="s">
        <v>110</v>
      </c>
      <c r="K16" s="55" t="s">
        <v>111</v>
      </c>
      <c r="L16" s="55" t="s">
        <v>112</v>
      </c>
      <c r="M16" s="52" t="s">
        <v>113</v>
      </c>
    </row>
    <row r="17" spans="1:13" ht="12.75">
      <c r="A17" s="48" t="s">
        <v>41</v>
      </c>
      <c r="B17" s="123">
        <f>IF(' Cash Flow Yr 1'!C8&gt;0,' Cash Flow Yr 1'!C8/' Cash Flow Yr 1'!$O8,0)</f>
        <v>0</v>
      </c>
      <c r="C17" s="123">
        <f>IF(' Cash Flow Yr 1'!D8&gt;0,' Cash Flow Yr 1'!D8/' Cash Flow Yr 1'!$O8,0)</f>
        <v>0</v>
      </c>
      <c r="D17" s="123">
        <f>IF(' Cash Flow Yr 1'!E8&gt;0,' Cash Flow Yr 1'!E8/' Cash Flow Yr 1'!$O8,0)</f>
        <v>0</v>
      </c>
      <c r="E17" s="123">
        <f>IF(' Cash Flow Yr 1'!F8&gt;0,' Cash Flow Yr 1'!F8/' Cash Flow Yr 1'!$O8,0)</f>
        <v>0</v>
      </c>
      <c r="F17" s="123">
        <f>IF(' Cash Flow Yr 1'!G8&gt;0,' Cash Flow Yr 1'!G8/' Cash Flow Yr 1'!$O8,0)</f>
        <v>0</v>
      </c>
      <c r="G17" s="123">
        <f>IF(' Cash Flow Yr 1'!H8&gt;0,' Cash Flow Yr 1'!H8/' Cash Flow Yr 1'!$O8,0)</f>
        <v>0</v>
      </c>
      <c r="H17" s="123">
        <f>IF(' Cash Flow Yr 1'!I8&gt;0,' Cash Flow Yr 1'!I8/' Cash Flow Yr 1'!$O8,0)</f>
        <v>0</v>
      </c>
      <c r="I17" s="123">
        <f>IF(' Cash Flow Yr 1'!J8&gt;0,' Cash Flow Yr 1'!J8/' Cash Flow Yr 1'!$O8,0)</f>
        <v>0</v>
      </c>
      <c r="J17" s="123">
        <f>IF(' Cash Flow Yr 1'!K8&gt;0,' Cash Flow Yr 1'!K8/' Cash Flow Yr 1'!$O8,0)</f>
        <v>0</v>
      </c>
      <c r="K17" s="123">
        <f>IF(' Cash Flow Yr 1'!L8&gt;0,' Cash Flow Yr 1'!L8/' Cash Flow Yr 1'!$O8,0)</f>
        <v>0</v>
      </c>
      <c r="L17" s="123">
        <f>IF(' Cash Flow Yr 1'!M8&gt;0,' Cash Flow Yr 1'!M8/' Cash Flow Yr 1'!$O8,0)</f>
        <v>0</v>
      </c>
      <c r="M17" s="124">
        <f>IF(' Cash Flow Yr 1'!N8&gt;0,' Cash Flow Yr 1'!N8/' Cash Flow Yr 1'!$O8,0)</f>
        <v>0</v>
      </c>
    </row>
    <row r="18" spans="1:13" ht="12.75">
      <c r="A18" s="48" t="str">
        <f>' Cash Flow Yr 1'!A14</f>
        <v>Cost of Goods Sold</v>
      </c>
      <c r="B18" s="123">
        <f>IF(' Cash Flow Yr 1'!C14&gt;0,' Cash Flow Yr 1'!C14/' Cash Flow Yr 1'!$O14,0)</f>
        <v>0</v>
      </c>
      <c r="C18" s="123">
        <f>IF(' Cash Flow Yr 1'!D14&gt;0,' Cash Flow Yr 1'!D14/' Cash Flow Yr 1'!$O14,0)</f>
        <v>0</v>
      </c>
      <c r="D18" s="123">
        <f>IF(' Cash Flow Yr 1'!E14&gt;0,' Cash Flow Yr 1'!E14/' Cash Flow Yr 1'!$O14,0)</f>
        <v>0</v>
      </c>
      <c r="E18" s="123">
        <f>IF(' Cash Flow Yr 1'!F14&gt;0,' Cash Flow Yr 1'!F14/' Cash Flow Yr 1'!$O14,0)</f>
        <v>0</v>
      </c>
      <c r="F18" s="123">
        <f>IF(' Cash Flow Yr 1'!G14&gt;0,' Cash Flow Yr 1'!G14/' Cash Flow Yr 1'!$O14,0)</f>
        <v>0</v>
      </c>
      <c r="G18" s="123">
        <f>IF(' Cash Flow Yr 1'!H14&gt;0,' Cash Flow Yr 1'!H14/' Cash Flow Yr 1'!$O14,0)</f>
        <v>0</v>
      </c>
      <c r="H18" s="123">
        <f>IF(' Cash Flow Yr 1'!I14&gt;0,' Cash Flow Yr 1'!I14/' Cash Flow Yr 1'!$O14,0)</f>
        <v>0</v>
      </c>
      <c r="I18" s="123">
        <f>IF(' Cash Flow Yr 1'!J14&gt;0,' Cash Flow Yr 1'!J14/' Cash Flow Yr 1'!$O14,0)</f>
        <v>0</v>
      </c>
      <c r="J18" s="123">
        <f>IF(' Cash Flow Yr 1'!K14&gt;0,' Cash Flow Yr 1'!K14/' Cash Flow Yr 1'!$O14,0)</f>
        <v>0</v>
      </c>
      <c r="K18" s="123">
        <f>IF(' Cash Flow Yr 1'!L14&gt;0,' Cash Flow Yr 1'!L14/' Cash Flow Yr 1'!$O14,0)</f>
        <v>0</v>
      </c>
      <c r="L18" s="123">
        <f>IF(' Cash Flow Yr 1'!M14&gt;0,' Cash Flow Yr 1'!M14/' Cash Flow Yr 1'!$O14,0)</f>
        <v>0</v>
      </c>
      <c r="M18" s="124">
        <f>IF(' Cash Flow Yr 1'!N14&gt;0,' Cash Flow Yr 1'!N14/' Cash Flow Yr 1'!$O14,0)</f>
        <v>0</v>
      </c>
    </row>
    <row r="19" spans="1:13" ht="12.75">
      <c r="A19" s="48" t="str">
        <f>' Cash Flow Yr 1'!A15</f>
        <v>Gross Wages</v>
      </c>
      <c r="B19" s="123">
        <f>IF(' Cash Flow Yr 1'!C15&gt;0,' Cash Flow Yr 1'!C15/' Cash Flow Yr 1'!$O15,0)</f>
        <v>0</v>
      </c>
      <c r="C19" s="123">
        <f>IF(' Cash Flow Yr 1'!D15&gt;0,' Cash Flow Yr 1'!D15/' Cash Flow Yr 1'!$O15,0)</f>
        <v>0</v>
      </c>
      <c r="D19" s="123">
        <f>IF(' Cash Flow Yr 1'!E15&gt;0,' Cash Flow Yr 1'!E15/' Cash Flow Yr 1'!$O15,0)</f>
        <v>0</v>
      </c>
      <c r="E19" s="123">
        <f>IF(' Cash Flow Yr 1'!F15&gt;0,' Cash Flow Yr 1'!F15/' Cash Flow Yr 1'!$O15,0)</f>
        <v>0</v>
      </c>
      <c r="F19" s="123">
        <f>IF(' Cash Flow Yr 1'!G15&gt;0,' Cash Flow Yr 1'!G15/' Cash Flow Yr 1'!$O15,0)</f>
        <v>0</v>
      </c>
      <c r="G19" s="123">
        <f>IF(' Cash Flow Yr 1'!H15&gt;0,' Cash Flow Yr 1'!H15/' Cash Flow Yr 1'!$O15,0)</f>
        <v>0</v>
      </c>
      <c r="H19" s="123">
        <f>IF(' Cash Flow Yr 1'!I15&gt;0,' Cash Flow Yr 1'!I15/' Cash Flow Yr 1'!$O15,0)</f>
        <v>0</v>
      </c>
      <c r="I19" s="123">
        <f>IF(' Cash Flow Yr 1'!J15&gt;0,' Cash Flow Yr 1'!J15/' Cash Flow Yr 1'!$O15,0)</f>
        <v>0</v>
      </c>
      <c r="J19" s="123">
        <f>IF(' Cash Flow Yr 1'!K15&gt;0,' Cash Flow Yr 1'!K15/' Cash Flow Yr 1'!$O15,0)</f>
        <v>0</v>
      </c>
      <c r="K19" s="123">
        <f>IF(' Cash Flow Yr 1'!L15&gt;0,' Cash Flow Yr 1'!L15/' Cash Flow Yr 1'!$O15,0)</f>
        <v>0</v>
      </c>
      <c r="L19" s="123">
        <f>IF(' Cash Flow Yr 1'!M15&gt;0,' Cash Flow Yr 1'!M15/' Cash Flow Yr 1'!$O15,0)</f>
        <v>0</v>
      </c>
      <c r="M19" s="124">
        <f>IF(' Cash Flow Yr 1'!N15&gt;0,' Cash Flow Yr 1'!N15/' Cash Flow Yr 1'!$O15,0)</f>
        <v>0</v>
      </c>
    </row>
    <row r="20" spans="1:13" ht="12.75">
      <c r="A20" s="48" t="str">
        <f>' Cash Flow Yr 1'!A16</f>
        <v>Payroll Expense</v>
      </c>
      <c r="B20" s="123">
        <f>IF(' Cash Flow Yr 1'!C16&gt;0,' Cash Flow Yr 1'!C16/' Cash Flow Yr 1'!$O16,0)</f>
        <v>0</v>
      </c>
      <c r="C20" s="123">
        <f>IF(' Cash Flow Yr 1'!D16&gt;0,' Cash Flow Yr 1'!D16/' Cash Flow Yr 1'!$O16,0)</f>
        <v>0</v>
      </c>
      <c r="D20" s="123">
        <f>IF(' Cash Flow Yr 1'!E16&gt;0,' Cash Flow Yr 1'!E16/' Cash Flow Yr 1'!$O16,0)</f>
        <v>0</v>
      </c>
      <c r="E20" s="123">
        <f>IF(' Cash Flow Yr 1'!F16&gt;0,' Cash Flow Yr 1'!F16/' Cash Flow Yr 1'!$O16,0)</f>
        <v>0</v>
      </c>
      <c r="F20" s="123">
        <f>IF(' Cash Flow Yr 1'!G16&gt;0,' Cash Flow Yr 1'!G16/' Cash Flow Yr 1'!$O16,0)</f>
        <v>0</v>
      </c>
      <c r="G20" s="123">
        <f>IF(' Cash Flow Yr 1'!H16&gt;0,' Cash Flow Yr 1'!H16/' Cash Flow Yr 1'!$O16,0)</f>
        <v>0</v>
      </c>
      <c r="H20" s="123">
        <f>IF(' Cash Flow Yr 1'!I16&gt;0,' Cash Flow Yr 1'!I16/' Cash Flow Yr 1'!$O16,0)</f>
        <v>0</v>
      </c>
      <c r="I20" s="123">
        <f>IF(' Cash Flow Yr 1'!J16&gt;0,' Cash Flow Yr 1'!J16/' Cash Flow Yr 1'!$O16,0)</f>
        <v>0</v>
      </c>
      <c r="J20" s="123">
        <f>IF(' Cash Flow Yr 1'!K16&gt;0,' Cash Flow Yr 1'!K16/' Cash Flow Yr 1'!$O16,0)</f>
        <v>0</v>
      </c>
      <c r="K20" s="123">
        <f>IF(' Cash Flow Yr 1'!L16&gt;0,' Cash Flow Yr 1'!L16/' Cash Flow Yr 1'!$O16,0)</f>
        <v>0</v>
      </c>
      <c r="L20" s="123">
        <f>IF(' Cash Flow Yr 1'!M16&gt;0,' Cash Flow Yr 1'!M16/' Cash Flow Yr 1'!$O16,0)</f>
        <v>0</v>
      </c>
      <c r="M20" s="124">
        <f>IF(' Cash Flow Yr 1'!N16&gt;0,' Cash Flow Yr 1'!N16/' Cash Flow Yr 1'!$O16,0)</f>
        <v>0</v>
      </c>
    </row>
    <row r="21" spans="1:13" ht="12.75">
      <c r="A21" s="48" t="str">
        <f>' Cash Flow Yr 1'!A17</f>
        <v>Supplies (office &amp; operating)</v>
      </c>
      <c r="B21" s="123">
        <f>IF(' Cash Flow Yr 1'!C17&gt;0,' Cash Flow Yr 1'!C17/' Cash Flow Yr 1'!$O17,0)</f>
        <v>0</v>
      </c>
      <c r="C21" s="123">
        <f>IF(' Cash Flow Yr 1'!D17&gt;0,' Cash Flow Yr 1'!D17/' Cash Flow Yr 1'!$O17,0)</f>
        <v>0</v>
      </c>
      <c r="D21" s="123">
        <f>IF(' Cash Flow Yr 1'!E17&gt;0,' Cash Flow Yr 1'!E17/' Cash Flow Yr 1'!$O17,0)</f>
        <v>0</v>
      </c>
      <c r="E21" s="123">
        <f>IF(' Cash Flow Yr 1'!F17&gt;0,' Cash Flow Yr 1'!F17/' Cash Flow Yr 1'!$O17,0)</f>
        <v>0</v>
      </c>
      <c r="F21" s="123">
        <f>IF(' Cash Flow Yr 1'!G17&gt;0,' Cash Flow Yr 1'!G17/' Cash Flow Yr 1'!$O17,0)</f>
        <v>0</v>
      </c>
      <c r="G21" s="123">
        <f>IF(' Cash Flow Yr 1'!H17&gt;0,' Cash Flow Yr 1'!H17/' Cash Flow Yr 1'!$O17,0)</f>
        <v>0</v>
      </c>
      <c r="H21" s="123">
        <f>IF(' Cash Flow Yr 1'!I17&gt;0,' Cash Flow Yr 1'!I17/' Cash Flow Yr 1'!$O17,0)</f>
        <v>0</v>
      </c>
      <c r="I21" s="123">
        <f>IF(' Cash Flow Yr 1'!J17&gt;0,' Cash Flow Yr 1'!J17/' Cash Flow Yr 1'!$O17,0)</f>
        <v>0</v>
      </c>
      <c r="J21" s="123">
        <f>IF(' Cash Flow Yr 1'!K17&gt;0,' Cash Flow Yr 1'!K17/' Cash Flow Yr 1'!$O17,0)</f>
        <v>0</v>
      </c>
      <c r="K21" s="123">
        <f>IF(' Cash Flow Yr 1'!L17&gt;0,' Cash Flow Yr 1'!L17/' Cash Flow Yr 1'!$O17,0)</f>
        <v>0</v>
      </c>
      <c r="L21" s="123">
        <f>IF(' Cash Flow Yr 1'!M17&gt;0,' Cash Flow Yr 1'!M17/' Cash Flow Yr 1'!$O17,0)</f>
        <v>0</v>
      </c>
      <c r="M21" s="124">
        <f>IF(' Cash Flow Yr 1'!N17&gt;0,' Cash Flow Yr 1'!N17/' Cash Flow Yr 1'!$O17,0)</f>
        <v>0</v>
      </c>
    </row>
    <row r="22" spans="1:13" ht="12.75">
      <c r="A22" s="48" t="str">
        <f>' Cash Flow Yr 1'!A18</f>
        <v>Repairs and Maintenance</v>
      </c>
      <c r="B22" s="123">
        <f>IF(' Cash Flow Yr 1'!C18&gt;0,' Cash Flow Yr 1'!C18/' Cash Flow Yr 1'!$O18,0)</f>
        <v>0</v>
      </c>
      <c r="C22" s="123">
        <f>IF(' Cash Flow Yr 1'!D18&gt;0,' Cash Flow Yr 1'!D18/' Cash Flow Yr 1'!$O18,0)</f>
        <v>0</v>
      </c>
      <c r="D22" s="123">
        <f>IF(' Cash Flow Yr 1'!E18&gt;0,' Cash Flow Yr 1'!E18/' Cash Flow Yr 1'!$O18,0)</f>
        <v>0</v>
      </c>
      <c r="E22" s="123">
        <f>IF(' Cash Flow Yr 1'!F18&gt;0,' Cash Flow Yr 1'!F18/' Cash Flow Yr 1'!$O18,0)</f>
        <v>0</v>
      </c>
      <c r="F22" s="123">
        <f>IF(' Cash Flow Yr 1'!G18&gt;0,' Cash Flow Yr 1'!G18/' Cash Flow Yr 1'!$O18,0)</f>
        <v>0</v>
      </c>
      <c r="G22" s="123">
        <f>IF(' Cash Flow Yr 1'!H18&gt;0,' Cash Flow Yr 1'!H18/' Cash Flow Yr 1'!$O18,0)</f>
        <v>0</v>
      </c>
      <c r="H22" s="123">
        <f>IF(' Cash Flow Yr 1'!I18&gt;0,' Cash Flow Yr 1'!I18/' Cash Flow Yr 1'!$O18,0)</f>
        <v>0</v>
      </c>
      <c r="I22" s="123">
        <f>IF(' Cash Flow Yr 1'!J18&gt;0,' Cash Flow Yr 1'!J18/' Cash Flow Yr 1'!$O18,0)</f>
        <v>0</v>
      </c>
      <c r="J22" s="123">
        <f>IF(' Cash Flow Yr 1'!K18&gt;0,' Cash Flow Yr 1'!K18/' Cash Flow Yr 1'!$O18,0)</f>
        <v>0</v>
      </c>
      <c r="K22" s="123">
        <f>IF(' Cash Flow Yr 1'!L18&gt;0,' Cash Flow Yr 1'!L18/' Cash Flow Yr 1'!$O18,0)</f>
        <v>0</v>
      </c>
      <c r="L22" s="123">
        <f>IF(' Cash Flow Yr 1'!M18&gt;0,' Cash Flow Yr 1'!M18/' Cash Flow Yr 1'!$O18,0)</f>
        <v>0</v>
      </c>
      <c r="M22" s="124">
        <f>IF(' Cash Flow Yr 1'!N18&gt;0,' Cash Flow Yr 1'!N18/' Cash Flow Yr 1'!$O18,0)</f>
        <v>0</v>
      </c>
    </row>
    <row r="23" spans="1:13" ht="12.75">
      <c r="A23" s="48" t="str">
        <f>' Cash Flow Yr 1'!A19</f>
        <v>Advertising</v>
      </c>
      <c r="B23" s="123">
        <f>IF(' Cash Flow Yr 1'!C19&gt;0,' Cash Flow Yr 1'!C19/' Cash Flow Yr 1'!$O19,0)</f>
        <v>0</v>
      </c>
      <c r="C23" s="123">
        <f>IF(' Cash Flow Yr 1'!D19&gt;0,' Cash Flow Yr 1'!D19/' Cash Flow Yr 1'!$O19,0)</f>
        <v>0</v>
      </c>
      <c r="D23" s="123">
        <f>IF(' Cash Flow Yr 1'!E19&gt;0,' Cash Flow Yr 1'!E19/' Cash Flow Yr 1'!$O19,0)</f>
        <v>0</v>
      </c>
      <c r="E23" s="123">
        <f>IF(' Cash Flow Yr 1'!F19&gt;0,' Cash Flow Yr 1'!F19/' Cash Flow Yr 1'!$O19,0)</f>
        <v>0</v>
      </c>
      <c r="F23" s="123">
        <f>IF(' Cash Flow Yr 1'!G19&gt;0,' Cash Flow Yr 1'!G19/' Cash Flow Yr 1'!$O19,0)</f>
        <v>0</v>
      </c>
      <c r="G23" s="123">
        <f>IF(' Cash Flow Yr 1'!H19&gt;0,' Cash Flow Yr 1'!H19/' Cash Flow Yr 1'!$O19,0)</f>
        <v>0</v>
      </c>
      <c r="H23" s="123">
        <f>IF(' Cash Flow Yr 1'!I19&gt;0,' Cash Flow Yr 1'!I19/' Cash Flow Yr 1'!$O19,0)</f>
        <v>0</v>
      </c>
      <c r="I23" s="123">
        <f>IF(' Cash Flow Yr 1'!J19&gt;0,' Cash Flow Yr 1'!J19/' Cash Flow Yr 1'!$O19,0)</f>
        <v>0</v>
      </c>
      <c r="J23" s="123">
        <f>IF(' Cash Flow Yr 1'!K19&gt;0,' Cash Flow Yr 1'!K19/' Cash Flow Yr 1'!$O19,0)</f>
        <v>0</v>
      </c>
      <c r="K23" s="123">
        <f>IF(' Cash Flow Yr 1'!L19&gt;0,' Cash Flow Yr 1'!L19/' Cash Flow Yr 1'!$O19,0)</f>
        <v>0</v>
      </c>
      <c r="L23" s="123">
        <f>IF(' Cash Flow Yr 1'!M19&gt;0,' Cash Flow Yr 1'!M19/' Cash Flow Yr 1'!$O19,0)</f>
        <v>0</v>
      </c>
      <c r="M23" s="124">
        <f>IF(' Cash Flow Yr 1'!N19&gt;0,' Cash Flow Yr 1'!N19/' Cash Flow Yr 1'!$O19,0)</f>
        <v>0</v>
      </c>
    </row>
    <row r="24" spans="1:13" ht="12.75">
      <c r="A24" s="48" t="str">
        <f>' Cash Flow Yr 1'!A20</f>
        <v>Car, Delivery, and Travel</v>
      </c>
      <c r="B24" s="123">
        <f>IF(' Cash Flow Yr 1'!C20&gt;0,' Cash Flow Yr 1'!C20/' Cash Flow Yr 1'!$O20,0)</f>
        <v>0</v>
      </c>
      <c r="C24" s="123">
        <f>IF(' Cash Flow Yr 1'!D20&gt;0,' Cash Flow Yr 1'!D20/' Cash Flow Yr 1'!$O20,0)</f>
        <v>0</v>
      </c>
      <c r="D24" s="123">
        <f>IF(' Cash Flow Yr 1'!E20&gt;0,' Cash Flow Yr 1'!E20/' Cash Flow Yr 1'!$O20,0)</f>
        <v>0</v>
      </c>
      <c r="E24" s="123">
        <f>IF(' Cash Flow Yr 1'!F20&gt;0,' Cash Flow Yr 1'!F20/' Cash Flow Yr 1'!$O20,0)</f>
        <v>0</v>
      </c>
      <c r="F24" s="123">
        <f>IF(' Cash Flow Yr 1'!G20&gt;0,' Cash Flow Yr 1'!G20/' Cash Flow Yr 1'!$O20,0)</f>
        <v>0</v>
      </c>
      <c r="G24" s="123">
        <f>IF(' Cash Flow Yr 1'!H20&gt;0,' Cash Flow Yr 1'!H20/' Cash Flow Yr 1'!$O20,0)</f>
        <v>0</v>
      </c>
      <c r="H24" s="123">
        <f>IF(' Cash Flow Yr 1'!I20&gt;0,' Cash Flow Yr 1'!I20/' Cash Flow Yr 1'!$O20,0)</f>
        <v>0</v>
      </c>
      <c r="I24" s="123">
        <f>IF(' Cash Flow Yr 1'!J20&gt;0,' Cash Flow Yr 1'!J20/' Cash Flow Yr 1'!$O20,0)</f>
        <v>0</v>
      </c>
      <c r="J24" s="123">
        <f>IF(' Cash Flow Yr 1'!K20&gt;0,' Cash Flow Yr 1'!K20/' Cash Flow Yr 1'!$O20,0)</f>
        <v>0</v>
      </c>
      <c r="K24" s="123">
        <f>IF(' Cash Flow Yr 1'!L20&gt;0,' Cash Flow Yr 1'!L20/' Cash Flow Yr 1'!$O20,0)</f>
        <v>0</v>
      </c>
      <c r="L24" s="123">
        <f>IF(' Cash Flow Yr 1'!M20&gt;0,' Cash Flow Yr 1'!M20/' Cash Flow Yr 1'!$O20,0)</f>
        <v>0</v>
      </c>
      <c r="M24" s="124">
        <f>IF(' Cash Flow Yr 1'!N20&gt;0,' Cash Flow Yr 1'!N20/' Cash Flow Yr 1'!$O20,0)</f>
        <v>0</v>
      </c>
    </row>
    <row r="25" spans="1:13" ht="12.75">
      <c r="A25" s="48" t="str">
        <f>' Cash Flow Yr 1'!A21</f>
        <v>Accounting and Legal</v>
      </c>
      <c r="B25" s="123">
        <f>IF(' Cash Flow Yr 1'!C21&gt;0,' Cash Flow Yr 1'!C21/' Cash Flow Yr 1'!$O21,0)</f>
        <v>0</v>
      </c>
      <c r="C25" s="123">
        <f>IF(' Cash Flow Yr 1'!D21&gt;0,' Cash Flow Yr 1'!D21/' Cash Flow Yr 1'!$O21,0)</f>
        <v>0</v>
      </c>
      <c r="D25" s="123">
        <f>IF(' Cash Flow Yr 1'!E21&gt;0,' Cash Flow Yr 1'!E21/' Cash Flow Yr 1'!$O21,0)</f>
        <v>0</v>
      </c>
      <c r="E25" s="123">
        <f>IF(' Cash Flow Yr 1'!F21&gt;0,' Cash Flow Yr 1'!F21/' Cash Flow Yr 1'!$O21,0)</f>
        <v>0</v>
      </c>
      <c r="F25" s="123">
        <f>IF(' Cash Flow Yr 1'!G21&gt;0,' Cash Flow Yr 1'!G21/' Cash Flow Yr 1'!$O21,0)</f>
        <v>0</v>
      </c>
      <c r="G25" s="123">
        <f>IF(' Cash Flow Yr 1'!H21&gt;0,' Cash Flow Yr 1'!H21/' Cash Flow Yr 1'!$O21,0)</f>
        <v>0</v>
      </c>
      <c r="H25" s="123">
        <f>IF(' Cash Flow Yr 1'!I21&gt;0,' Cash Flow Yr 1'!I21/' Cash Flow Yr 1'!$O21,0)</f>
        <v>0</v>
      </c>
      <c r="I25" s="123">
        <f>IF(' Cash Flow Yr 1'!J21&gt;0,' Cash Flow Yr 1'!J21/' Cash Flow Yr 1'!$O21,0)</f>
        <v>0</v>
      </c>
      <c r="J25" s="123">
        <f>IF(' Cash Flow Yr 1'!K21&gt;0,' Cash Flow Yr 1'!K21/' Cash Flow Yr 1'!$O21,0)</f>
        <v>0</v>
      </c>
      <c r="K25" s="123">
        <f>IF(' Cash Flow Yr 1'!L21&gt;0,' Cash Flow Yr 1'!L21/' Cash Flow Yr 1'!$O21,0)</f>
        <v>0</v>
      </c>
      <c r="L25" s="123">
        <f>IF(' Cash Flow Yr 1'!M21&gt;0,' Cash Flow Yr 1'!M21/' Cash Flow Yr 1'!$O21,0)</f>
        <v>0</v>
      </c>
      <c r="M25" s="124">
        <f>IF(' Cash Flow Yr 1'!N21&gt;0,' Cash Flow Yr 1'!N21/' Cash Flow Yr 1'!$O21,0)</f>
        <v>0</v>
      </c>
    </row>
    <row r="26" spans="1:13" ht="12.75">
      <c r="A26" s="48" t="str">
        <f>' Cash Flow Yr 1'!A23</f>
        <v>Phone/Internet</v>
      </c>
      <c r="B26" s="123">
        <f>IF(' Cash Flow Yr 1'!C23&gt;0,' Cash Flow Yr 1'!C23/' Cash Flow Yr 1'!$O23,0)</f>
        <v>0</v>
      </c>
      <c r="C26" s="123">
        <f>IF(' Cash Flow Yr 1'!D23&gt;0,' Cash Flow Yr 1'!D23/' Cash Flow Yr 1'!$O23,0)</f>
        <v>0</v>
      </c>
      <c r="D26" s="123">
        <f>IF(' Cash Flow Yr 1'!E23&gt;0,' Cash Flow Yr 1'!E23/' Cash Flow Yr 1'!$O23,0)</f>
        <v>0</v>
      </c>
      <c r="E26" s="123">
        <f>IF(' Cash Flow Yr 1'!F23&gt;0,' Cash Flow Yr 1'!F23/' Cash Flow Yr 1'!$O23,0)</f>
        <v>0</v>
      </c>
      <c r="F26" s="123">
        <f>IF(' Cash Flow Yr 1'!G23&gt;0,' Cash Flow Yr 1'!G23/' Cash Flow Yr 1'!$O23,0)</f>
        <v>0</v>
      </c>
      <c r="G26" s="123">
        <f>IF(' Cash Flow Yr 1'!H23&gt;0,' Cash Flow Yr 1'!H23/' Cash Flow Yr 1'!$O23,0)</f>
        <v>0</v>
      </c>
      <c r="H26" s="123">
        <f>IF(' Cash Flow Yr 1'!I23&gt;0,' Cash Flow Yr 1'!I23/' Cash Flow Yr 1'!$O23,0)</f>
        <v>0</v>
      </c>
      <c r="I26" s="123">
        <f>IF(' Cash Flow Yr 1'!J23&gt;0,' Cash Flow Yr 1'!J23/' Cash Flow Yr 1'!$O23,0)</f>
        <v>0</v>
      </c>
      <c r="J26" s="123">
        <f>IF(' Cash Flow Yr 1'!K23&gt;0,' Cash Flow Yr 1'!K23/' Cash Flow Yr 1'!$O23,0)</f>
        <v>0</v>
      </c>
      <c r="K26" s="123">
        <f>IF(' Cash Flow Yr 1'!L23&gt;0,' Cash Flow Yr 1'!L23/' Cash Flow Yr 1'!$O23,0)</f>
        <v>0</v>
      </c>
      <c r="L26" s="123">
        <f>IF(' Cash Flow Yr 1'!M23&gt;0,' Cash Flow Yr 1'!M23/' Cash Flow Yr 1'!$O23,0)</f>
        <v>0</v>
      </c>
      <c r="M26" s="124">
        <f>IF(' Cash Flow Yr 1'!N23&gt;0,' Cash Flow Yr 1'!N23/' Cash Flow Yr 1'!$O23,0)</f>
        <v>0</v>
      </c>
    </row>
    <row r="27" spans="1:13" ht="12.75">
      <c r="A27" s="48" t="str">
        <f>' Cash Flow Yr 1'!A24</f>
        <v>Utilities</v>
      </c>
      <c r="B27" s="123">
        <f>IF(' Cash Flow Yr 1'!C24&gt;0,' Cash Flow Yr 1'!C24/' Cash Flow Yr 1'!$O24,0)</f>
        <v>0</v>
      </c>
      <c r="C27" s="123">
        <f>IF(' Cash Flow Yr 1'!D24&gt;0,' Cash Flow Yr 1'!D24/' Cash Flow Yr 1'!$O24,0)</f>
        <v>0</v>
      </c>
      <c r="D27" s="123">
        <f>IF(' Cash Flow Yr 1'!E24&gt;0,' Cash Flow Yr 1'!E24/' Cash Flow Yr 1'!$O24,0)</f>
        <v>0</v>
      </c>
      <c r="E27" s="123">
        <f>IF(' Cash Flow Yr 1'!F24&gt;0,' Cash Flow Yr 1'!F24/' Cash Flow Yr 1'!$O24,0)</f>
        <v>0</v>
      </c>
      <c r="F27" s="123">
        <f>IF(' Cash Flow Yr 1'!G24&gt;0,' Cash Flow Yr 1'!G24/' Cash Flow Yr 1'!$O24,0)</f>
        <v>0</v>
      </c>
      <c r="G27" s="123">
        <f>IF(' Cash Flow Yr 1'!H24&gt;0,' Cash Flow Yr 1'!H24/' Cash Flow Yr 1'!$O24,0)</f>
        <v>0</v>
      </c>
      <c r="H27" s="123">
        <f>IF(' Cash Flow Yr 1'!I24&gt;0,' Cash Flow Yr 1'!I24/' Cash Flow Yr 1'!$O24,0)</f>
        <v>0</v>
      </c>
      <c r="I27" s="123">
        <f>IF(' Cash Flow Yr 1'!J24&gt;0,' Cash Flow Yr 1'!J24/' Cash Flow Yr 1'!$O24,0)</f>
        <v>0</v>
      </c>
      <c r="J27" s="123">
        <f>IF(' Cash Flow Yr 1'!K24&gt;0,' Cash Flow Yr 1'!K24/' Cash Flow Yr 1'!$O24,0)</f>
        <v>0</v>
      </c>
      <c r="K27" s="123">
        <f>IF(' Cash Flow Yr 1'!L24&gt;0,' Cash Flow Yr 1'!L24/' Cash Flow Yr 1'!$O24,0)</f>
        <v>0</v>
      </c>
      <c r="L27" s="123">
        <f>IF(' Cash Flow Yr 1'!M24&gt;0,' Cash Flow Yr 1'!M24/' Cash Flow Yr 1'!$O24,0)</f>
        <v>0</v>
      </c>
      <c r="M27" s="124">
        <f>IF(' Cash Flow Yr 1'!N24&gt;0,' Cash Flow Yr 1'!N24/' Cash Flow Yr 1'!$O24,0)</f>
        <v>0</v>
      </c>
    </row>
    <row r="28" spans="1:13" ht="12.75">
      <c r="A28" s="48" t="str">
        <f>' Cash Flow Yr 1'!A25</f>
        <v>Insurance</v>
      </c>
      <c r="B28" s="123">
        <f>IF(' Cash Flow Yr 1'!C25&gt;0,' Cash Flow Yr 1'!C25/' Cash Flow Yr 1'!$O25,0)</f>
        <v>0</v>
      </c>
      <c r="C28" s="123">
        <f>IF(' Cash Flow Yr 1'!D25&gt;0,' Cash Flow Yr 1'!D25/' Cash Flow Yr 1'!$O25,0)</f>
        <v>0</v>
      </c>
      <c r="D28" s="123">
        <f>IF(' Cash Flow Yr 1'!E25&gt;0,' Cash Flow Yr 1'!E25/' Cash Flow Yr 1'!$O25,0)</f>
        <v>0</v>
      </c>
      <c r="E28" s="123">
        <f>IF(' Cash Flow Yr 1'!F25&gt;0,' Cash Flow Yr 1'!F25/' Cash Flow Yr 1'!$O25,0)</f>
        <v>0</v>
      </c>
      <c r="F28" s="123">
        <f>IF(' Cash Flow Yr 1'!G25&gt;0,' Cash Flow Yr 1'!G25/' Cash Flow Yr 1'!$O25,0)</f>
        <v>0</v>
      </c>
      <c r="G28" s="123">
        <f>IF(' Cash Flow Yr 1'!H25&gt;0,' Cash Flow Yr 1'!H25/' Cash Flow Yr 1'!$O25,0)</f>
        <v>0</v>
      </c>
      <c r="H28" s="123">
        <f>IF(' Cash Flow Yr 1'!I25&gt;0,' Cash Flow Yr 1'!I25/' Cash Flow Yr 1'!$O25,0)</f>
        <v>0</v>
      </c>
      <c r="I28" s="123">
        <f>IF(' Cash Flow Yr 1'!J25&gt;0,' Cash Flow Yr 1'!J25/' Cash Flow Yr 1'!$O25,0)</f>
        <v>0</v>
      </c>
      <c r="J28" s="123">
        <f>IF(' Cash Flow Yr 1'!K25&gt;0,' Cash Flow Yr 1'!K25/' Cash Flow Yr 1'!$O25,0)</f>
        <v>0</v>
      </c>
      <c r="K28" s="123">
        <f>IF(' Cash Flow Yr 1'!L25&gt;0,' Cash Flow Yr 1'!L25/' Cash Flow Yr 1'!$O25,0)</f>
        <v>0</v>
      </c>
      <c r="L28" s="123">
        <f>IF(' Cash Flow Yr 1'!M25&gt;0,' Cash Flow Yr 1'!M25/' Cash Flow Yr 1'!$O25,0)</f>
        <v>0</v>
      </c>
      <c r="M28" s="124">
        <f>IF(' Cash Flow Yr 1'!N25&gt;0,' Cash Flow Yr 1'!N25/' Cash Flow Yr 1'!$O25,0)</f>
        <v>0</v>
      </c>
    </row>
    <row r="29" spans="1:13" ht="12.75">
      <c r="A29" s="48" t="str">
        <f>' Cash Flow Yr 1'!A26</f>
        <v>Interest-Bank *</v>
      </c>
      <c r="B29" s="123">
        <f>IF(' Cash Flow Yr 1'!C26&gt;0,' Cash Flow Yr 1'!C26/' Cash Flow Yr 1'!$O26,0)</f>
        <v>0</v>
      </c>
      <c r="C29" s="123">
        <f>IF(' Cash Flow Yr 1'!D26&gt;0,' Cash Flow Yr 1'!D26/' Cash Flow Yr 1'!$O26,0)</f>
        <v>0</v>
      </c>
      <c r="D29" s="123">
        <f>IF(' Cash Flow Yr 1'!E26&gt;0,' Cash Flow Yr 1'!E26/' Cash Flow Yr 1'!$O26,0)</f>
        <v>0</v>
      </c>
      <c r="E29" s="123">
        <f>IF(' Cash Flow Yr 1'!F26&gt;0,' Cash Flow Yr 1'!F26/' Cash Flow Yr 1'!$O26,0)</f>
        <v>0</v>
      </c>
      <c r="F29" s="123">
        <f>IF(' Cash Flow Yr 1'!G26&gt;0,' Cash Flow Yr 1'!G26/' Cash Flow Yr 1'!$O26,0)</f>
        <v>0</v>
      </c>
      <c r="G29" s="123">
        <f>IF(' Cash Flow Yr 1'!H26&gt;0,' Cash Flow Yr 1'!H26/' Cash Flow Yr 1'!$O26,0)</f>
        <v>0</v>
      </c>
      <c r="H29" s="123">
        <f>IF(' Cash Flow Yr 1'!I26&gt;0,' Cash Flow Yr 1'!I26/' Cash Flow Yr 1'!$O26,0)</f>
        <v>0</v>
      </c>
      <c r="I29" s="123">
        <f>IF(' Cash Flow Yr 1'!J26&gt;0,' Cash Flow Yr 1'!J26/' Cash Flow Yr 1'!$O26,0)</f>
        <v>0</v>
      </c>
      <c r="J29" s="123">
        <f>IF(' Cash Flow Yr 1'!K26&gt;0,' Cash Flow Yr 1'!K26/' Cash Flow Yr 1'!$O26,0)</f>
        <v>0</v>
      </c>
      <c r="K29" s="123">
        <f>IF(' Cash Flow Yr 1'!L26&gt;0,' Cash Flow Yr 1'!L26/' Cash Flow Yr 1'!$O26,0)</f>
        <v>0</v>
      </c>
      <c r="L29" s="123">
        <f>IF(' Cash Flow Yr 1'!M26&gt;0,' Cash Flow Yr 1'!M26/' Cash Flow Yr 1'!$O26,0)</f>
        <v>0</v>
      </c>
      <c r="M29" s="124">
        <f>IF(' Cash Flow Yr 1'!N26&gt;0,' Cash Flow Yr 1'!N26/' Cash Flow Yr 1'!$O26,0)</f>
        <v>0</v>
      </c>
    </row>
    <row r="30" spans="1:13" ht="12.75">
      <c r="A30" s="48" t="str">
        <f>' Cash Flow Yr 1'!A27</f>
        <v>Interest-Gap **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ht="12.75">
      <c r="A31" s="48" t="str">
        <f>' Cash Flow Yr 1'!A28</f>
        <v>Misc.</v>
      </c>
      <c r="B31" s="123">
        <f>IF(' Cash Flow Yr 1'!C28&gt;0,' Cash Flow Yr 1'!C28/' Cash Flow Yr 1'!$O28,0)</f>
        <v>0</v>
      </c>
      <c r="C31" s="123">
        <f>IF(' Cash Flow Yr 1'!D28&gt;0,' Cash Flow Yr 1'!D28/' Cash Flow Yr 1'!$O28,0)</f>
        <v>0</v>
      </c>
      <c r="D31" s="123">
        <f>IF(' Cash Flow Yr 1'!E28&gt;0,' Cash Flow Yr 1'!E28/' Cash Flow Yr 1'!$O28,0)</f>
        <v>0</v>
      </c>
      <c r="E31" s="123">
        <f>IF(' Cash Flow Yr 1'!F28&gt;0,' Cash Flow Yr 1'!F28/' Cash Flow Yr 1'!$O28,0)</f>
        <v>0</v>
      </c>
      <c r="F31" s="123">
        <f>IF(' Cash Flow Yr 1'!G28&gt;0,' Cash Flow Yr 1'!G28/' Cash Flow Yr 1'!$O28,0)</f>
        <v>0</v>
      </c>
      <c r="G31" s="123">
        <f>IF(' Cash Flow Yr 1'!H28&gt;0,' Cash Flow Yr 1'!H28/' Cash Flow Yr 1'!$O28,0)</f>
        <v>0</v>
      </c>
      <c r="H31" s="123">
        <f>IF(' Cash Flow Yr 1'!I28&gt;0,' Cash Flow Yr 1'!I28/' Cash Flow Yr 1'!$O28,0)</f>
        <v>0</v>
      </c>
      <c r="I31" s="123">
        <f>IF(' Cash Flow Yr 1'!J28&gt;0,' Cash Flow Yr 1'!J28/' Cash Flow Yr 1'!$O28,0)</f>
        <v>0</v>
      </c>
      <c r="J31" s="123">
        <f>IF(' Cash Flow Yr 1'!K28&gt;0,' Cash Flow Yr 1'!K28/' Cash Flow Yr 1'!$O28,0)</f>
        <v>0</v>
      </c>
      <c r="K31" s="123">
        <f>IF(' Cash Flow Yr 1'!L28&gt;0,' Cash Flow Yr 1'!L28/' Cash Flow Yr 1'!$O28,0)</f>
        <v>0</v>
      </c>
      <c r="L31" s="123">
        <f>IF(' Cash Flow Yr 1'!M28&gt;0,' Cash Flow Yr 1'!M28/' Cash Flow Yr 1'!$O28,0)</f>
        <v>0</v>
      </c>
      <c r="M31" s="124">
        <f>IF(' Cash Flow Yr 1'!N28&gt;0,' Cash Flow Yr 1'!N28/' Cash Flow Yr 1'!$O28,0)</f>
        <v>0</v>
      </c>
    </row>
    <row r="32" spans="1:13" ht="12.75">
      <c r="A32" s="48" t="str">
        <f>' Cash Flow Yr 1'!A29</f>
        <v>Other Expenses</v>
      </c>
      <c r="B32" s="123">
        <f>IF(' Cash Flow Yr 1'!C29&gt;0,' Cash Flow Yr 1'!C29/' Cash Flow Yr 1'!$O29,0)</f>
        <v>0</v>
      </c>
      <c r="C32" s="123">
        <f>IF(' Cash Flow Yr 1'!D29&gt;0,' Cash Flow Yr 1'!D29/' Cash Flow Yr 1'!$O29,0)</f>
        <v>0</v>
      </c>
      <c r="D32" s="123">
        <f>IF(' Cash Flow Yr 1'!E29&gt;0,' Cash Flow Yr 1'!E29/' Cash Flow Yr 1'!$O29,0)</f>
        <v>0</v>
      </c>
      <c r="E32" s="123">
        <f>IF(' Cash Flow Yr 1'!F29&gt;0,' Cash Flow Yr 1'!F29/' Cash Flow Yr 1'!$O29,0)</f>
        <v>0</v>
      </c>
      <c r="F32" s="123">
        <f>IF(' Cash Flow Yr 1'!G29&gt;0,' Cash Flow Yr 1'!G29/' Cash Flow Yr 1'!$O29,0)</f>
        <v>0</v>
      </c>
      <c r="G32" s="123">
        <f>IF(' Cash Flow Yr 1'!H29&gt;0,' Cash Flow Yr 1'!H29/' Cash Flow Yr 1'!$O29,0)</f>
        <v>0</v>
      </c>
      <c r="H32" s="123">
        <f>IF(' Cash Flow Yr 1'!I29&gt;0,' Cash Flow Yr 1'!I29/' Cash Flow Yr 1'!$O29,0)</f>
        <v>0</v>
      </c>
      <c r="I32" s="123">
        <f>IF(' Cash Flow Yr 1'!J29&gt;0,' Cash Flow Yr 1'!J29/' Cash Flow Yr 1'!$O29,0)</f>
        <v>0</v>
      </c>
      <c r="J32" s="123">
        <f>IF(' Cash Flow Yr 1'!K29&gt;0,' Cash Flow Yr 1'!K29/' Cash Flow Yr 1'!$O29,0)</f>
        <v>0</v>
      </c>
      <c r="K32" s="123">
        <f>IF(' Cash Flow Yr 1'!L29&gt;0,' Cash Flow Yr 1'!L29/' Cash Flow Yr 1'!$O29,0)</f>
        <v>0</v>
      </c>
      <c r="L32" s="123">
        <f>IF(' Cash Flow Yr 1'!M29&gt;0,' Cash Flow Yr 1'!M29/' Cash Flow Yr 1'!$O29,0)</f>
        <v>0</v>
      </c>
      <c r="M32" s="124">
        <f>IF(' Cash Flow Yr 1'!N29&gt;0,' Cash Flow Yr 1'!N29/' Cash Flow Yr 1'!$O29,0)</f>
        <v>0</v>
      </c>
    </row>
    <row r="33" spans="1:13" ht="12.75">
      <c r="A33" s="48" t="str">
        <f>' Cash Flow Yr 1'!A31</f>
        <v>Loan Principal Payment-Bank *</v>
      </c>
      <c r="B33" s="123">
        <f>IF(' Cash Flow Yr 1'!C31&gt;0,' Cash Flow Yr 1'!C31/' Cash Flow Yr 1'!$O31,0)</f>
        <v>0</v>
      </c>
      <c r="C33" s="123">
        <f>IF(' Cash Flow Yr 1'!D31&gt;0,' Cash Flow Yr 1'!D31/' Cash Flow Yr 1'!$O31,0)</f>
        <v>0</v>
      </c>
      <c r="D33" s="123">
        <f>IF(' Cash Flow Yr 1'!E31&gt;0,' Cash Flow Yr 1'!E31/' Cash Flow Yr 1'!$O31,0)</f>
        <v>0</v>
      </c>
      <c r="E33" s="123">
        <f>IF(' Cash Flow Yr 1'!F31&gt;0,' Cash Flow Yr 1'!F31/' Cash Flow Yr 1'!$O31,0)</f>
        <v>0</v>
      </c>
      <c r="F33" s="123">
        <f>IF(' Cash Flow Yr 1'!G31&gt;0,' Cash Flow Yr 1'!G31/' Cash Flow Yr 1'!$O31,0)</f>
        <v>0</v>
      </c>
      <c r="G33" s="123">
        <f>IF(' Cash Flow Yr 1'!H31&gt;0,' Cash Flow Yr 1'!H31/' Cash Flow Yr 1'!$O31,0)</f>
        <v>0</v>
      </c>
      <c r="H33" s="123">
        <f>IF(' Cash Flow Yr 1'!I31&gt;0,' Cash Flow Yr 1'!I31/' Cash Flow Yr 1'!$O31,0)</f>
        <v>0</v>
      </c>
      <c r="I33" s="123">
        <f>IF(' Cash Flow Yr 1'!J31&gt;0,' Cash Flow Yr 1'!J31/' Cash Flow Yr 1'!$O31,0)</f>
        <v>0</v>
      </c>
      <c r="J33" s="123">
        <f>IF(' Cash Flow Yr 1'!K31&gt;0,' Cash Flow Yr 1'!K31/' Cash Flow Yr 1'!$O31,0)</f>
        <v>0</v>
      </c>
      <c r="K33" s="123">
        <f>IF(' Cash Flow Yr 1'!L31&gt;0,' Cash Flow Yr 1'!L31/' Cash Flow Yr 1'!$O31,0)</f>
        <v>0</v>
      </c>
      <c r="L33" s="123">
        <f>IF(' Cash Flow Yr 1'!M31&gt;0,' Cash Flow Yr 1'!M31/' Cash Flow Yr 1'!$O31,0)</f>
        <v>0</v>
      </c>
      <c r="M33" s="124">
        <f>IF(' Cash Flow Yr 1'!N31&gt;0,' Cash Flow Yr 1'!N31/' Cash Flow Yr 1'!$O31,0)</f>
        <v>0</v>
      </c>
    </row>
    <row r="34" spans="1:13" ht="12.75">
      <c r="A34" s="48" t="str">
        <f>' Cash Flow Yr 1'!A32</f>
        <v>Loan Principal Payment-Gap **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</row>
    <row r="35" spans="1:13" ht="12.75">
      <c r="A35" s="48" t="str">
        <f>' Cash Flow Yr 1'!A33</f>
        <v>Capital Purchases</v>
      </c>
      <c r="B35" s="123">
        <f>IF(' Cash Flow Yr 1'!C33&gt;0,' Cash Flow Yr 1'!C33/' Cash Flow Yr 1'!$O33,0)</f>
        <v>0</v>
      </c>
      <c r="C35" s="123">
        <f>IF(' Cash Flow Yr 1'!D33&gt;0,' Cash Flow Yr 1'!D33/' Cash Flow Yr 1'!$O33,0)</f>
        <v>0</v>
      </c>
      <c r="D35" s="123">
        <f>IF(' Cash Flow Yr 1'!E33&gt;0,' Cash Flow Yr 1'!E33/' Cash Flow Yr 1'!$O33,0)</f>
        <v>0</v>
      </c>
      <c r="E35" s="123">
        <f>IF(' Cash Flow Yr 1'!F33&gt;0,' Cash Flow Yr 1'!F33/' Cash Flow Yr 1'!$O33,0)</f>
        <v>0</v>
      </c>
      <c r="F35" s="123">
        <f>IF(' Cash Flow Yr 1'!G33&gt;0,' Cash Flow Yr 1'!G33/' Cash Flow Yr 1'!$O33,0)</f>
        <v>0</v>
      </c>
      <c r="G35" s="123">
        <f>IF(' Cash Flow Yr 1'!H33&gt;0,' Cash Flow Yr 1'!H33/' Cash Flow Yr 1'!$O33,0)</f>
        <v>0</v>
      </c>
      <c r="H35" s="123">
        <f>IF(' Cash Flow Yr 1'!I33&gt;0,' Cash Flow Yr 1'!I33/' Cash Flow Yr 1'!$O33,0)</f>
        <v>0</v>
      </c>
      <c r="I35" s="123">
        <f>IF(' Cash Flow Yr 1'!J33&gt;0,' Cash Flow Yr 1'!J33/' Cash Flow Yr 1'!$O33,0)</f>
        <v>0</v>
      </c>
      <c r="J35" s="123">
        <f>IF(' Cash Flow Yr 1'!K33&gt;0,' Cash Flow Yr 1'!K33/' Cash Flow Yr 1'!$O33,0)</f>
        <v>0</v>
      </c>
      <c r="K35" s="123">
        <f>IF(' Cash Flow Yr 1'!L33&gt;0,' Cash Flow Yr 1'!L33/' Cash Flow Yr 1'!$O33,0)</f>
        <v>0</v>
      </c>
      <c r="L35" s="123">
        <f>IF(' Cash Flow Yr 1'!M33&gt;0,' Cash Flow Yr 1'!M33/' Cash Flow Yr 1'!$O33,0)</f>
        <v>0</v>
      </c>
      <c r="M35" s="124">
        <f>IF(' Cash Flow Yr 1'!N33&gt;0,' Cash Flow Yr 1'!N33/' Cash Flow Yr 1'!$O33,0)</f>
        <v>0</v>
      </c>
    </row>
    <row r="36" spans="1:13" ht="12.75">
      <c r="A36" s="48" t="str">
        <f>' Cash Flow Yr 1'!A35</f>
        <v>Income Tax Reserve</v>
      </c>
      <c r="B36" s="123">
        <f>IF(' Cash Flow Yr 1'!C35&gt;0,' Cash Flow Yr 1'!C35/' Cash Flow Yr 1'!$O35,0)</f>
        <v>0</v>
      </c>
      <c r="C36" s="123">
        <f>IF(' Cash Flow Yr 1'!D33&gt;0,' Cash Flow Yr 1'!D33/' Cash Flow Yr 1'!$O33,0)</f>
        <v>0</v>
      </c>
      <c r="D36" s="123">
        <f>IF(' Cash Flow Yr 1'!E33&gt;0,' Cash Flow Yr 1'!E33/' Cash Flow Yr 1'!$O33,0)</f>
        <v>0</v>
      </c>
      <c r="E36" s="123">
        <f>IF(' Cash Flow Yr 1'!F33&gt;0,' Cash Flow Yr 1'!F33/' Cash Flow Yr 1'!$O33,0)</f>
        <v>0</v>
      </c>
      <c r="F36" s="123">
        <f>IF(' Cash Flow Yr 1'!G33&gt;0,' Cash Flow Yr 1'!G33/' Cash Flow Yr 1'!$O33,0)</f>
        <v>0</v>
      </c>
      <c r="G36" s="123">
        <f>IF(' Cash Flow Yr 1'!H33&gt;0,' Cash Flow Yr 1'!H33/' Cash Flow Yr 1'!$O33,0)</f>
        <v>0</v>
      </c>
      <c r="H36" s="123">
        <f>IF(' Cash Flow Yr 1'!I33&gt;0,' Cash Flow Yr 1'!I33/' Cash Flow Yr 1'!$O33,0)</f>
        <v>0</v>
      </c>
      <c r="I36" s="123">
        <f>IF(' Cash Flow Yr 1'!J33&gt;0,' Cash Flow Yr 1'!J33/' Cash Flow Yr 1'!$O33,0)</f>
        <v>0</v>
      </c>
      <c r="J36" s="123">
        <f>IF(' Cash Flow Yr 1'!K33&gt;0,' Cash Flow Yr 1'!K33/' Cash Flow Yr 1'!$O33,0)</f>
        <v>0</v>
      </c>
      <c r="K36" s="123">
        <f>IF(' Cash Flow Yr 1'!L33&gt;0,' Cash Flow Yr 1'!L33/' Cash Flow Yr 1'!$O33,0)</f>
        <v>0</v>
      </c>
      <c r="L36" s="123">
        <f>IF(' Cash Flow Yr 1'!M33&gt;0,' Cash Flow Yr 1'!M33/' Cash Flow Yr 1'!$O33,0)</f>
        <v>0</v>
      </c>
      <c r="M36" s="124">
        <f>IF(' Cash Flow Yr 1'!N33&gt;0,' Cash Flow Yr 1'!N33/' Cash Flow Yr 1'!$O33,0)</f>
        <v>0</v>
      </c>
    </row>
    <row r="37" spans="1:13" ht="12.75">
      <c r="A37" s="48" t="str">
        <f>' Cash Flow Yr 1'!A36</f>
        <v>Owners Withdrawal</v>
      </c>
      <c r="B37" s="123">
        <f>IF(' Cash Flow Yr 1'!C36&gt;0,' Cash Flow Yr 1'!C36/' Cash Flow Yr 1'!$O36,0)</f>
        <v>0</v>
      </c>
      <c r="C37" s="123">
        <f>IF(' Cash Flow Yr 1'!D34&gt;0,' Cash Flow Yr 1'!D34/' Cash Flow Yr 1'!$O34,0)</f>
        <v>0</v>
      </c>
      <c r="D37" s="123">
        <f>IF(' Cash Flow Yr 1'!E34&gt;0,' Cash Flow Yr 1'!E34/' Cash Flow Yr 1'!$O34,0)</f>
        <v>0</v>
      </c>
      <c r="E37" s="123">
        <f>IF(' Cash Flow Yr 1'!F34&gt;0,' Cash Flow Yr 1'!F34/' Cash Flow Yr 1'!$O34,0)</f>
        <v>0</v>
      </c>
      <c r="F37" s="123">
        <f>IF(' Cash Flow Yr 1'!G34&gt;0,' Cash Flow Yr 1'!G34/' Cash Flow Yr 1'!$O34,0)</f>
        <v>0</v>
      </c>
      <c r="G37" s="123">
        <f>IF(' Cash Flow Yr 1'!H34&gt;0,' Cash Flow Yr 1'!H34/' Cash Flow Yr 1'!$O34,0)</f>
        <v>0</v>
      </c>
      <c r="H37" s="123">
        <f>IF(' Cash Flow Yr 1'!I34&gt;0,' Cash Flow Yr 1'!I34/' Cash Flow Yr 1'!$O34,0)</f>
        <v>0</v>
      </c>
      <c r="I37" s="123">
        <f>IF(' Cash Flow Yr 1'!J34&gt;0,' Cash Flow Yr 1'!J34/' Cash Flow Yr 1'!$O34,0)</f>
        <v>0</v>
      </c>
      <c r="J37" s="123">
        <f>IF(' Cash Flow Yr 1'!K34&gt;0,' Cash Flow Yr 1'!K34/' Cash Flow Yr 1'!$O34,0)</f>
        <v>0</v>
      </c>
      <c r="K37" s="123">
        <f>IF(' Cash Flow Yr 1'!L34&gt;0,' Cash Flow Yr 1'!L34/' Cash Flow Yr 1'!$O34,0)</f>
        <v>0</v>
      </c>
      <c r="L37" s="123">
        <f>IF(' Cash Flow Yr 1'!M34&gt;0,' Cash Flow Yr 1'!M34/' Cash Flow Yr 1'!$O34,0)</f>
        <v>0</v>
      </c>
      <c r="M37" s="124">
        <f>IF(' Cash Flow Yr 1'!N34&gt;0,' Cash Flow Yr 1'!N34/' Cash Flow Yr 1'!$O34,0)</f>
        <v>0</v>
      </c>
    </row>
    <row r="38" spans="1:13" ht="12.75">
      <c r="A38" s="53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5"/>
    </row>
    <row r="39" spans="1:13" ht="12.75">
      <c r="A39" s="53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5"/>
    </row>
    <row r="40" spans="1:13" ht="12.75">
      <c r="A40" s="53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5"/>
    </row>
    <row r="41" spans="1:13" ht="13.5" thickBot="1">
      <c r="A41" s="103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6"/>
    </row>
  </sheetData>
  <sheetProtection/>
  <printOptions/>
  <pageMargins left="0.75" right="0.75" top="1" bottom="1" header="0.5" footer="0.5"/>
  <pageSetup horizontalDpi="300" verticalDpi="300" orientation="landscape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N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9.28125" style="0" customWidth="1"/>
    <col min="2" max="2" width="11.28125" style="0" bestFit="1" customWidth="1"/>
    <col min="3" max="3" width="12.57421875" style="0" customWidth="1"/>
    <col min="4" max="4" width="14.140625" style="0" customWidth="1"/>
  </cols>
  <sheetData>
    <row r="1" spans="1:14" ht="12.75">
      <c r="A1" s="98" t="s">
        <v>162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12.75">
      <c r="A2" s="48" t="s">
        <v>173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2"/>
    </row>
    <row r="3" spans="1:14" ht="13.5" thickBot="1">
      <c r="A3" s="5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2"/>
    </row>
    <row r="4" spans="1:14" ht="13.5" thickBot="1">
      <c r="A4" s="429" t="s">
        <v>167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1"/>
    </row>
    <row r="5" spans="1:14" ht="12.75">
      <c r="A5" s="131"/>
      <c r="B5" s="99" t="s">
        <v>102</v>
      </c>
      <c r="C5" s="99" t="s">
        <v>103</v>
      </c>
      <c r="D5" s="99" t="s">
        <v>104</v>
      </c>
      <c r="E5" s="99" t="s">
        <v>105</v>
      </c>
      <c r="F5" s="99" t="s">
        <v>106</v>
      </c>
      <c r="G5" s="99" t="s">
        <v>107</v>
      </c>
      <c r="H5" s="99" t="s">
        <v>108</v>
      </c>
      <c r="I5" s="99" t="s">
        <v>109</v>
      </c>
      <c r="J5" s="99" t="s">
        <v>110</v>
      </c>
      <c r="K5" s="99" t="s">
        <v>111</v>
      </c>
      <c r="L5" s="99" t="s">
        <v>112</v>
      </c>
      <c r="M5" s="99" t="s">
        <v>113</v>
      </c>
      <c r="N5" s="100" t="s">
        <v>122</v>
      </c>
    </row>
    <row r="6" spans="1:14" ht="12.75">
      <c r="A6" s="53" t="s">
        <v>163</v>
      </c>
      <c r="B6" s="114">
        <f>(MonthlyBreakeven!B17*'Income Stmt'!$C$6)*(1+'What If'!$B$14)</f>
        <v>0</v>
      </c>
      <c r="C6" s="114">
        <f>(MonthlyBreakeven!C17*'Income Stmt'!$C$6)*(1+'What If'!$B$14)</f>
        <v>0</v>
      </c>
      <c r="D6" s="114">
        <f>(MonthlyBreakeven!D17*'Income Stmt'!$C$6)*(1+'What If'!$B$14)</f>
        <v>0</v>
      </c>
      <c r="E6" s="114">
        <f>(MonthlyBreakeven!E17*'Income Stmt'!$C$6)*(1+'What If'!$B$14)</f>
        <v>0</v>
      </c>
      <c r="F6" s="114">
        <f>(MonthlyBreakeven!F17*'Income Stmt'!$C$6)*(1+'What If'!$B$14)</f>
        <v>0</v>
      </c>
      <c r="G6" s="114">
        <f>(MonthlyBreakeven!G17*'Income Stmt'!$C$6)*(1+'What If'!$B$14)</f>
        <v>0</v>
      </c>
      <c r="H6" s="114">
        <f>(MonthlyBreakeven!H17*'Income Stmt'!$C$6)*(1+'What If'!$B$14)</f>
        <v>0</v>
      </c>
      <c r="I6" s="114">
        <f>(MonthlyBreakeven!I17*'Income Stmt'!$C$6)*(1+'What If'!$B$14)</f>
        <v>0</v>
      </c>
      <c r="J6" s="114">
        <f>(MonthlyBreakeven!J17*'Income Stmt'!$C$6)*(1+'What If'!$B$14)</f>
        <v>0</v>
      </c>
      <c r="K6" s="114">
        <f>(MonthlyBreakeven!K17*'Income Stmt'!$C$6)*(1+'What If'!$B$14)</f>
        <v>0</v>
      </c>
      <c r="L6" s="114">
        <f>(MonthlyBreakeven!L17*'Income Stmt'!$C$6)*(1+'What If'!$B$14)</f>
        <v>0</v>
      </c>
      <c r="M6" s="114">
        <f>(MonthlyBreakeven!M17*'Income Stmt'!$C$6)*(1+'What If'!$B$14)</f>
        <v>0</v>
      </c>
      <c r="N6" s="115">
        <f>'Income Stmt'!$C$6*(1+'What If'!$B$14)</f>
        <v>0</v>
      </c>
    </row>
    <row r="7" spans="1:14" ht="12.75">
      <c r="A7" s="116" t="s">
        <v>164</v>
      </c>
      <c r="B7" s="83">
        <f>MonthlyBreakeven!B6*(1+'What If'!$B$15)</f>
        <v>0</v>
      </c>
      <c r="C7" s="83">
        <f>MonthlyBreakeven!C6*(1+'What If'!$B$15)</f>
        <v>0</v>
      </c>
      <c r="D7" s="83">
        <f>MonthlyBreakeven!D6*(1+'What If'!$B$15)</f>
        <v>0</v>
      </c>
      <c r="E7" s="83">
        <f>MonthlyBreakeven!E6*(1+'What If'!$B$15)</f>
        <v>0</v>
      </c>
      <c r="F7" s="83">
        <f>MonthlyBreakeven!F6*(1+'What If'!$B$15)</f>
        <v>0</v>
      </c>
      <c r="G7" s="83">
        <f>MonthlyBreakeven!G6*(1+'What If'!$B$15)</f>
        <v>0</v>
      </c>
      <c r="H7" s="83">
        <f>MonthlyBreakeven!H6*(1+'What If'!$B$15)</f>
        <v>0</v>
      </c>
      <c r="I7" s="83">
        <f>MonthlyBreakeven!I6*(1+'What If'!$B$15)</f>
        <v>0</v>
      </c>
      <c r="J7" s="83">
        <f>MonthlyBreakeven!J6*(1+'What If'!$B$15)</f>
        <v>0</v>
      </c>
      <c r="K7" s="83">
        <f>MonthlyBreakeven!K6*(1+'What If'!$B$15)</f>
        <v>0</v>
      </c>
      <c r="L7" s="83">
        <f>MonthlyBreakeven!L6*(1+'What If'!$B$15)</f>
        <v>0</v>
      </c>
      <c r="M7" s="83">
        <f>MonthlyBreakeven!M6*(1+'What If'!$B$15)</f>
        <v>0</v>
      </c>
      <c r="N7" s="117">
        <f>Breakeven!E30*(1+'What If'!$B$15)</f>
        <v>0</v>
      </c>
    </row>
    <row r="8" spans="1:14" ht="12.75">
      <c r="A8" s="53" t="s">
        <v>159</v>
      </c>
      <c r="B8" s="114" t="e">
        <f>1-(B7/B6)</f>
        <v>#DIV/0!</v>
      </c>
      <c r="C8" s="114" t="e">
        <f aca="true" t="shared" si="0" ref="C8:N8">1-(C7/C6)</f>
        <v>#DIV/0!</v>
      </c>
      <c r="D8" s="114" t="e">
        <f t="shared" si="0"/>
        <v>#DIV/0!</v>
      </c>
      <c r="E8" s="114" t="e">
        <f t="shared" si="0"/>
        <v>#DIV/0!</v>
      </c>
      <c r="F8" s="114" t="e">
        <f t="shared" si="0"/>
        <v>#DIV/0!</v>
      </c>
      <c r="G8" s="114" t="e">
        <f t="shared" si="0"/>
        <v>#DIV/0!</v>
      </c>
      <c r="H8" s="114" t="e">
        <f t="shared" si="0"/>
        <v>#DIV/0!</v>
      </c>
      <c r="I8" s="114" t="e">
        <f t="shared" si="0"/>
        <v>#DIV/0!</v>
      </c>
      <c r="J8" s="114" t="e">
        <f t="shared" si="0"/>
        <v>#DIV/0!</v>
      </c>
      <c r="K8" s="114" t="e">
        <f t="shared" si="0"/>
        <v>#DIV/0!</v>
      </c>
      <c r="L8" s="114" t="e">
        <f t="shared" si="0"/>
        <v>#DIV/0!</v>
      </c>
      <c r="M8" s="114" t="e">
        <f t="shared" si="0"/>
        <v>#DIV/0!</v>
      </c>
      <c r="N8" s="115" t="e">
        <f t="shared" si="0"/>
        <v>#DIV/0!</v>
      </c>
    </row>
    <row r="9" spans="1:14" ht="12.75">
      <c r="A9" s="116" t="s">
        <v>161</v>
      </c>
      <c r="B9" s="83">
        <f>MonthlyBreakeven!B8*(1+'What If'!$B$16)</f>
        <v>0</v>
      </c>
      <c r="C9" s="83">
        <f>MonthlyBreakeven!C8*(1+'What If'!$B$16)</f>
        <v>0</v>
      </c>
      <c r="D9" s="83">
        <f>MonthlyBreakeven!D8*(1+'What If'!$B$16)</f>
        <v>0</v>
      </c>
      <c r="E9" s="83">
        <f>MonthlyBreakeven!E8*(1+'What If'!$B$16)</f>
        <v>0</v>
      </c>
      <c r="F9" s="83">
        <f>MonthlyBreakeven!F8*(1+'What If'!$B$16)</f>
        <v>0</v>
      </c>
      <c r="G9" s="83">
        <f>MonthlyBreakeven!G8*(1+'What If'!$B$16)</f>
        <v>0</v>
      </c>
      <c r="H9" s="83">
        <f>MonthlyBreakeven!H8*(1+'What If'!$B$16)</f>
        <v>0</v>
      </c>
      <c r="I9" s="83">
        <f>MonthlyBreakeven!I8*(1+'What If'!$B$16)</f>
        <v>0</v>
      </c>
      <c r="J9" s="83">
        <f>MonthlyBreakeven!J8*(1+'What If'!$B$16)</f>
        <v>0</v>
      </c>
      <c r="K9" s="83">
        <f>MonthlyBreakeven!K8*(1+'What If'!$B$16)</f>
        <v>0</v>
      </c>
      <c r="L9" s="83">
        <f>MonthlyBreakeven!L8*(1+'What If'!$B$16)</f>
        <v>0</v>
      </c>
      <c r="M9" s="83">
        <f>MonthlyBreakeven!M8*(1+'What If'!$B$16)</f>
        <v>0</v>
      </c>
      <c r="N9" s="117">
        <f>Breakeven!B30*(1+'What If'!$B$16)</f>
        <v>0</v>
      </c>
    </row>
    <row r="10" spans="1:14" ht="12.75">
      <c r="A10" s="48" t="s">
        <v>167</v>
      </c>
      <c r="B10" s="118" t="e">
        <f>B9/B8</f>
        <v>#DIV/0!</v>
      </c>
      <c r="C10" s="118" t="e">
        <f aca="true" t="shared" si="1" ref="C10:N10">C9/C8</f>
        <v>#DIV/0!</v>
      </c>
      <c r="D10" s="118" t="e">
        <f t="shared" si="1"/>
        <v>#DIV/0!</v>
      </c>
      <c r="E10" s="118" t="e">
        <f t="shared" si="1"/>
        <v>#DIV/0!</v>
      </c>
      <c r="F10" s="118" t="e">
        <f t="shared" si="1"/>
        <v>#DIV/0!</v>
      </c>
      <c r="G10" s="118" t="e">
        <f t="shared" si="1"/>
        <v>#DIV/0!</v>
      </c>
      <c r="H10" s="118" t="e">
        <f t="shared" si="1"/>
        <v>#DIV/0!</v>
      </c>
      <c r="I10" s="118" t="e">
        <f t="shared" si="1"/>
        <v>#DIV/0!</v>
      </c>
      <c r="J10" s="118" t="e">
        <f t="shared" si="1"/>
        <v>#DIV/0!</v>
      </c>
      <c r="K10" s="118" t="e">
        <f t="shared" si="1"/>
        <v>#DIV/0!</v>
      </c>
      <c r="L10" s="118" t="e">
        <f t="shared" si="1"/>
        <v>#DIV/0!</v>
      </c>
      <c r="M10" s="118" t="e">
        <f t="shared" si="1"/>
        <v>#DIV/0!</v>
      </c>
      <c r="N10" s="119" t="e">
        <f t="shared" si="1"/>
        <v>#DIV/0!</v>
      </c>
    </row>
    <row r="11" spans="1:14" ht="12.75">
      <c r="A11" s="5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2"/>
    </row>
    <row r="12" spans="1:14" ht="12.75">
      <c r="A12" s="5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2"/>
    </row>
    <row r="13" spans="1:14" ht="12.75">
      <c r="A13" s="427" t="s">
        <v>168</v>
      </c>
      <c r="B13" s="428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2"/>
    </row>
    <row r="14" spans="1:14" ht="12.75">
      <c r="A14" s="53" t="s">
        <v>163</v>
      </c>
      <c r="B14" s="120">
        <v>0.1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2.75">
      <c r="A15" s="53" t="s">
        <v>164</v>
      </c>
      <c r="B15" s="120">
        <v>-0.05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2"/>
    </row>
    <row r="16" spans="1:14" ht="13.5" thickBot="1">
      <c r="A16" s="103" t="s">
        <v>161</v>
      </c>
      <c r="B16" s="121">
        <v>0.15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</sheetData>
  <sheetProtection/>
  <mergeCells count="2">
    <mergeCell ref="A13:B13"/>
    <mergeCell ref="A4:N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4"/>
  <sheetViews>
    <sheetView zoomScaleSheetLayoutView="115" zoomScalePageLayoutView="0" workbookViewId="0" topLeftCell="A1">
      <pane xSplit="1" ySplit="5" topLeftCell="B21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1" sqref="C11"/>
    </sheetView>
  </sheetViews>
  <sheetFormatPr defaultColWidth="8.8515625" defaultRowHeight="12.75"/>
  <cols>
    <col min="1" max="1" width="28.421875" style="236" customWidth="1"/>
    <col min="2" max="2" width="13.28125" style="236" customWidth="1"/>
    <col min="3" max="15" width="10.7109375" style="236" customWidth="1"/>
    <col min="16" max="16" width="3.57421875" style="236" customWidth="1"/>
    <col min="17" max="17" width="13.421875" style="236" hidden="1" customWidth="1"/>
    <col min="18" max="18" width="3.7109375" style="236" hidden="1" customWidth="1"/>
    <col min="19" max="19" width="13.57421875" style="236" hidden="1" customWidth="1"/>
    <col min="20" max="20" width="0" style="236" hidden="1" customWidth="1"/>
    <col min="21" max="16384" width="8.8515625" style="236" customWidth="1"/>
  </cols>
  <sheetData>
    <row r="1" spans="1:15" ht="15">
      <c r="A1" s="354" t="s">
        <v>120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6"/>
    </row>
    <row r="2" spans="1:15" ht="15">
      <c r="A2" s="237"/>
      <c r="B2" s="352" t="s">
        <v>248</v>
      </c>
      <c r="C2" s="352"/>
      <c r="D2" s="357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9"/>
    </row>
    <row r="3" spans="1:19" ht="15.75" thickBot="1">
      <c r="A3" s="238"/>
      <c r="B3" s="353" t="s">
        <v>247</v>
      </c>
      <c r="C3" s="353"/>
      <c r="D3" s="360"/>
      <c r="E3" s="361"/>
      <c r="F3" s="361"/>
      <c r="G3" s="361"/>
      <c r="H3" s="361"/>
      <c r="I3" s="361"/>
      <c r="J3" s="361"/>
      <c r="K3" s="361"/>
      <c r="L3" s="361"/>
      <c r="M3" s="361"/>
      <c r="N3" s="362"/>
      <c r="O3" s="239"/>
      <c r="Q3" s="240">
        <f>O3+1</f>
        <v>1</v>
      </c>
      <c r="S3" s="240">
        <f>Q3+1</f>
        <v>2</v>
      </c>
    </row>
    <row r="4" spans="1:19" ht="12.75">
      <c r="A4" s="241"/>
      <c r="B4" s="242" t="s">
        <v>123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3" t="s">
        <v>29</v>
      </c>
      <c r="Q4" s="244" t="s">
        <v>29</v>
      </c>
      <c r="S4" s="244" t="s">
        <v>29</v>
      </c>
    </row>
    <row r="5" spans="1:19" ht="14.25" customHeight="1">
      <c r="A5" s="237"/>
      <c r="B5" s="245" t="s">
        <v>28</v>
      </c>
      <c r="C5" s="336" t="s">
        <v>280</v>
      </c>
      <c r="D5" s="336" t="s">
        <v>280</v>
      </c>
      <c r="E5" s="336" t="s">
        <v>280</v>
      </c>
      <c r="F5" s="336" t="s">
        <v>280</v>
      </c>
      <c r="G5" s="336" t="s">
        <v>280</v>
      </c>
      <c r="H5" s="336" t="s">
        <v>280</v>
      </c>
      <c r="I5" s="336" t="s">
        <v>280</v>
      </c>
      <c r="J5" s="336" t="s">
        <v>280</v>
      </c>
      <c r="K5" s="336" t="s">
        <v>280</v>
      </c>
      <c r="L5" s="336" t="s">
        <v>280</v>
      </c>
      <c r="M5" s="245" t="s">
        <v>28</v>
      </c>
      <c r="N5" s="245" t="s">
        <v>28</v>
      </c>
      <c r="O5" s="246" t="s">
        <v>28</v>
      </c>
      <c r="P5" s="244"/>
      <c r="Q5" s="244" t="s">
        <v>28</v>
      </c>
      <c r="R5" s="244"/>
      <c r="S5" s="244" t="s">
        <v>28</v>
      </c>
    </row>
    <row r="6" spans="1:15" s="244" customFormat="1" ht="13.5" thickBot="1">
      <c r="A6" s="247" t="s">
        <v>212</v>
      </c>
      <c r="B6" s="245"/>
      <c r="C6" s="245" t="s">
        <v>223</v>
      </c>
      <c r="D6" s="245" t="s">
        <v>224</v>
      </c>
      <c r="E6" s="245" t="s">
        <v>213</v>
      </c>
      <c r="F6" s="245" t="s">
        <v>214</v>
      </c>
      <c r="G6" s="245" t="s">
        <v>215</v>
      </c>
      <c r="H6" s="245" t="s">
        <v>216</v>
      </c>
      <c r="I6" s="245" t="s">
        <v>217</v>
      </c>
      <c r="J6" s="245" t="s">
        <v>218</v>
      </c>
      <c r="K6" s="245" t="s">
        <v>219</v>
      </c>
      <c r="L6" s="245" t="s">
        <v>220</v>
      </c>
      <c r="M6" s="245" t="s">
        <v>221</v>
      </c>
      <c r="N6" s="245" t="s">
        <v>222</v>
      </c>
      <c r="O6" s="246"/>
    </row>
    <row r="7" spans="1:19" ht="12.75">
      <c r="A7" s="248" t="s">
        <v>6</v>
      </c>
      <c r="B7" s="333">
        <v>0</v>
      </c>
      <c r="C7" s="249">
        <f>B38</f>
        <v>0</v>
      </c>
      <c r="D7" s="249">
        <f>C38</f>
        <v>0</v>
      </c>
      <c r="E7" s="249">
        <f aca="true" t="shared" si="0" ref="E7:N7">D38</f>
        <v>0</v>
      </c>
      <c r="F7" s="249">
        <f t="shared" si="0"/>
        <v>0</v>
      </c>
      <c r="G7" s="249">
        <f t="shared" si="0"/>
        <v>0</v>
      </c>
      <c r="H7" s="249">
        <f t="shared" si="0"/>
        <v>0</v>
      </c>
      <c r="I7" s="249">
        <f t="shared" si="0"/>
        <v>0</v>
      </c>
      <c r="J7" s="249">
        <f t="shared" si="0"/>
        <v>0</v>
      </c>
      <c r="K7" s="249">
        <f t="shared" si="0"/>
        <v>0</v>
      </c>
      <c r="L7" s="249">
        <f t="shared" si="0"/>
        <v>0</v>
      </c>
      <c r="M7" s="249">
        <f t="shared" si="0"/>
        <v>0</v>
      </c>
      <c r="N7" s="249">
        <f t="shared" si="0"/>
        <v>0</v>
      </c>
      <c r="O7" s="250"/>
      <c r="Q7" s="236">
        <f>N38</f>
        <v>0</v>
      </c>
      <c r="S7" s="236" t="e">
        <f>Q38</f>
        <v>#REF!</v>
      </c>
    </row>
    <row r="8" spans="1:19" ht="12.75">
      <c r="A8" s="237" t="s">
        <v>7</v>
      </c>
      <c r="B8" s="334">
        <v>0</v>
      </c>
      <c r="C8" s="251">
        <v>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2">
        <f>SUM(C8:N8)</f>
        <v>0</v>
      </c>
      <c r="Q8" s="236">
        <f>N52</f>
        <v>0</v>
      </c>
      <c r="S8" s="236">
        <f>N54</f>
        <v>0</v>
      </c>
    </row>
    <row r="9" spans="1:19" ht="12.75">
      <c r="A9" s="237" t="s">
        <v>8</v>
      </c>
      <c r="B9" s="334">
        <v>0</v>
      </c>
      <c r="C9" s="251">
        <v>0</v>
      </c>
      <c r="D9" s="251">
        <f aca="true" t="shared" si="1" ref="D9:N9">C60</f>
        <v>0</v>
      </c>
      <c r="E9" s="251">
        <f t="shared" si="1"/>
        <v>0</v>
      </c>
      <c r="F9" s="251">
        <f t="shared" si="1"/>
        <v>0</v>
      </c>
      <c r="G9" s="251">
        <f t="shared" si="1"/>
        <v>0</v>
      </c>
      <c r="H9" s="251">
        <f t="shared" si="1"/>
        <v>0</v>
      </c>
      <c r="I9" s="251">
        <f t="shared" si="1"/>
        <v>0</v>
      </c>
      <c r="J9" s="251">
        <f t="shared" si="1"/>
        <v>0</v>
      </c>
      <c r="K9" s="251">
        <f t="shared" si="1"/>
        <v>0</v>
      </c>
      <c r="L9" s="251">
        <f t="shared" si="1"/>
        <v>0</v>
      </c>
      <c r="M9" s="251">
        <f t="shared" si="1"/>
        <v>0</v>
      </c>
      <c r="N9" s="251">
        <f t="shared" si="1"/>
        <v>0</v>
      </c>
      <c r="O9" s="252">
        <f>SUM(C9:N9)</f>
        <v>0</v>
      </c>
      <c r="Q9" s="236">
        <f>N62</f>
        <v>0</v>
      </c>
      <c r="S9" s="236">
        <f>N64</f>
        <v>0</v>
      </c>
    </row>
    <row r="10" spans="1:15" ht="13.5" thickBot="1">
      <c r="A10" s="238" t="s">
        <v>90</v>
      </c>
      <c r="B10" s="337">
        <f>'Sources-Uses'!G15</f>
        <v>0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3">
        <v>0</v>
      </c>
      <c r="K10" s="253">
        <v>0</v>
      </c>
      <c r="L10" s="253">
        <v>0</v>
      </c>
      <c r="M10" s="253">
        <v>0</v>
      </c>
      <c r="N10" s="253">
        <v>0</v>
      </c>
      <c r="O10" s="254">
        <f>SUM(B10:N10)</f>
        <v>0</v>
      </c>
    </row>
    <row r="11" spans="1:19" ht="12.75">
      <c r="A11" s="255" t="s">
        <v>9</v>
      </c>
      <c r="B11" s="256">
        <f>SUM(B8:B10)</f>
        <v>0</v>
      </c>
      <c r="C11" s="256">
        <f>SUM(C8:C10)</f>
        <v>0</v>
      </c>
      <c r="D11" s="256">
        <f aca="true" t="shared" si="2" ref="D11:N11">SUM(D8:D10)</f>
        <v>0</v>
      </c>
      <c r="E11" s="256">
        <f t="shared" si="2"/>
        <v>0</v>
      </c>
      <c r="F11" s="256">
        <f t="shared" si="2"/>
        <v>0</v>
      </c>
      <c r="G11" s="256">
        <f t="shared" si="2"/>
        <v>0</v>
      </c>
      <c r="H11" s="256">
        <f t="shared" si="2"/>
        <v>0</v>
      </c>
      <c r="I11" s="256">
        <f t="shared" si="2"/>
        <v>0</v>
      </c>
      <c r="J11" s="256">
        <f t="shared" si="2"/>
        <v>0</v>
      </c>
      <c r="K11" s="256">
        <f t="shared" si="2"/>
        <v>0</v>
      </c>
      <c r="L11" s="256">
        <f t="shared" si="2"/>
        <v>0</v>
      </c>
      <c r="M11" s="256">
        <f t="shared" si="2"/>
        <v>0</v>
      </c>
      <c r="N11" s="256">
        <f t="shared" si="2"/>
        <v>0</v>
      </c>
      <c r="O11" s="257">
        <f>SUM(C11:N11)</f>
        <v>0</v>
      </c>
      <c r="Q11" s="236">
        <f>SUM(Q8:Q10)</f>
        <v>0</v>
      </c>
      <c r="S11" s="236">
        <f>SUM(S8:S10)</f>
        <v>0</v>
      </c>
    </row>
    <row r="12" spans="1:19" ht="13.5" thickBot="1">
      <c r="A12" s="258" t="s">
        <v>10</v>
      </c>
      <c r="B12" s="259">
        <f>SUM(B7:B10)</f>
        <v>0</v>
      </c>
      <c r="C12" s="259">
        <f>SUM(C7:C10)</f>
        <v>0</v>
      </c>
      <c r="D12" s="259">
        <f aca="true" t="shared" si="3" ref="D12:N12">SUM(D7:D10)</f>
        <v>0</v>
      </c>
      <c r="E12" s="259">
        <f t="shared" si="3"/>
        <v>0</v>
      </c>
      <c r="F12" s="259">
        <f t="shared" si="3"/>
        <v>0</v>
      </c>
      <c r="G12" s="259">
        <f t="shared" si="3"/>
        <v>0</v>
      </c>
      <c r="H12" s="259">
        <f t="shared" si="3"/>
        <v>0</v>
      </c>
      <c r="I12" s="259">
        <f t="shared" si="3"/>
        <v>0</v>
      </c>
      <c r="J12" s="259">
        <f t="shared" si="3"/>
        <v>0</v>
      </c>
      <c r="K12" s="259">
        <f t="shared" si="3"/>
        <v>0</v>
      </c>
      <c r="L12" s="259">
        <f t="shared" si="3"/>
        <v>0</v>
      </c>
      <c r="M12" s="259">
        <f t="shared" si="3"/>
        <v>0</v>
      </c>
      <c r="N12" s="259">
        <f t="shared" si="3"/>
        <v>0</v>
      </c>
      <c r="O12" s="260"/>
      <c r="Q12" s="236">
        <f>SUM(Q7:Q10)</f>
        <v>0</v>
      </c>
      <c r="S12" s="236" t="e">
        <f>SUM(S7:S10)</f>
        <v>#REF!</v>
      </c>
    </row>
    <row r="13" spans="1:15" ht="14.25" thickBot="1" thickTop="1">
      <c r="A13" s="261"/>
      <c r="B13" s="262"/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5"/>
    </row>
    <row r="14" spans="1:19" ht="12.75">
      <c r="A14" s="248" t="s">
        <v>11</v>
      </c>
      <c r="B14" s="249">
        <v>0</v>
      </c>
      <c r="C14" s="249">
        <v>0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50">
        <f>SUM(C14:N14)</f>
        <v>0</v>
      </c>
      <c r="Q14" s="236">
        <f>N53</f>
        <v>0</v>
      </c>
      <c r="S14" s="236">
        <f>N55</f>
        <v>0</v>
      </c>
    </row>
    <row r="15" spans="1:17" ht="12.75">
      <c r="A15" s="237" t="s">
        <v>12</v>
      </c>
      <c r="B15" s="251">
        <v>0</v>
      </c>
      <c r="C15" s="251">
        <v>0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2">
        <f aca="true" t="shared" si="4" ref="O15:O37">SUM(C15:N15)</f>
        <v>0</v>
      </c>
      <c r="Q15" s="236">
        <v>0</v>
      </c>
    </row>
    <row r="16" spans="1:17" ht="12.75">
      <c r="A16" s="237" t="s">
        <v>13</v>
      </c>
      <c r="B16" s="251">
        <v>0</v>
      </c>
      <c r="C16" s="251">
        <v>0</v>
      </c>
      <c r="D16" s="251">
        <v>0</v>
      </c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2">
        <f t="shared" si="4"/>
        <v>0</v>
      </c>
      <c r="Q16" s="236">
        <v>0</v>
      </c>
    </row>
    <row r="17" spans="1:17" ht="12.75">
      <c r="A17" s="237" t="s">
        <v>14</v>
      </c>
      <c r="B17" s="251">
        <v>0</v>
      </c>
      <c r="C17" s="251">
        <v>0</v>
      </c>
      <c r="D17" s="251">
        <v>0</v>
      </c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2">
        <f>SUM(C17:N17)</f>
        <v>0</v>
      </c>
      <c r="Q17" s="236">
        <v>0</v>
      </c>
    </row>
    <row r="18" spans="1:17" ht="12.75">
      <c r="A18" s="237" t="s">
        <v>15</v>
      </c>
      <c r="B18" s="251">
        <v>0</v>
      </c>
      <c r="C18" s="251">
        <v>0</v>
      </c>
      <c r="D18" s="251">
        <v>0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2">
        <f t="shared" si="4"/>
        <v>0</v>
      </c>
      <c r="Q18" s="236">
        <v>0</v>
      </c>
    </row>
    <row r="19" spans="1:17" ht="12.75">
      <c r="A19" s="237" t="s">
        <v>16</v>
      </c>
      <c r="B19" s="251">
        <v>0</v>
      </c>
      <c r="C19" s="251">
        <v>0</v>
      </c>
      <c r="D19" s="251">
        <v>0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2">
        <f t="shared" si="4"/>
        <v>0</v>
      </c>
      <c r="Q19" s="236">
        <v>0</v>
      </c>
    </row>
    <row r="20" spans="1:17" ht="12.75">
      <c r="A20" s="237" t="s">
        <v>17</v>
      </c>
      <c r="B20" s="251">
        <v>0</v>
      </c>
      <c r="C20" s="251">
        <v>0</v>
      </c>
      <c r="D20" s="251">
        <v>0</v>
      </c>
      <c r="E20" s="251">
        <v>0</v>
      </c>
      <c r="F20" s="251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52">
        <f t="shared" si="4"/>
        <v>0</v>
      </c>
      <c r="Q20" s="236">
        <v>0</v>
      </c>
    </row>
    <row r="21" spans="1:17" ht="12.75">
      <c r="A21" s="237" t="s">
        <v>18</v>
      </c>
      <c r="B21" s="251">
        <v>0</v>
      </c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0</v>
      </c>
      <c r="N21" s="251">
        <v>0</v>
      </c>
      <c r="O21" s="252">
        <f t="shared" si="4"/>
        <v>0</v>
      </c>
      <c r="Q21" s="236">
        <v>0</v>
      </c>
    </row>
    <row r="22" spans="1:15" ht="12.75">
      <c r="A22" s="237" t="s">
        <v>174</v>
      </c>
      <c r="B22" s="251">
        <v>0</v>
      </c>
      <c r="C22" s="251">
        <v>0</v>
      </c>
      <c r="D22" s="251">
        <v>0</v>
      </c>
      <c r="E22" s="251">
        <v>0</v>
      </c>
      <c r="F22" s="251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0</v>
      </c>
      <c r="O22" s="252">
        <f t="shared" si="4"/>
        <v>0</v>
      </c>
    </row>
    <row r="23" spans="1:17" ht="12.75">
      <c r="A23" s="237" t="s">
        <v>208</v>
      </c>
      <c r="B23" s="251">
        <v>0</v>
      </c>
      <c r="C23" s="251">
        <v>0</v>
      </c>
      <c r="D23" s="251">
        <v>0</v>
      </c>
      <c r="E23" s="251">
        <v>0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52">
        <f t="shared" si="4"/>
        <v>0</v>
      </c>
      <c r="Q23" s="236">
        <v>0</v>
      </c>
    </row>
    <row r="24" spans="1:17" ht="12.75">
      <c r="A24" s="237" t="s">
        <v>20</v>
      </c>
      <c r="B24" s="251">
        <v>0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2">
        <f t="shared" si="4"/>
        <v>0</v>
      </c>
      <c r="Q24" s="236">
        <v>0</v>
      </c>
    </row>
    <row r="25" spans="1:19" ht="12.75">
      <c r="A25" s="237" t="s">
        <v>21</v>
      </c>
      <c r="B25" s="251">
        <v>0</v>
      </c>
      <c r="C25" s="251">
        <v>0</v>
      </c>
      <c r="D25" s="251">
        <v>0</v>
      </c>
      <c r="E25" s="251">
        <v>0</v>
      </c>
      <c r="F25" s="251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2">
        <f t="shared" si="4"/>
        <v>0</v>
      </c>
      <c r="Q25" s="236">
        <v>0</v>
      </c>
      <c r="S25" s="236">
        <v>0</v>
      </c>
    </row>
    <row r="26" spans="1:17" ht="12.75">
      <c r="A26" s="266" t="s">
        <v>250</v>
      </c>
      <c r="B26" s="251">
        <v>0</v>
      </c>
      <c r="C26" s="251">
        <v>0</v>
      </c>
      <c r="D26" s="251">
        <v>0</v>
      </c>
      <c r="E26" s="251">
        <v>0</v>
      </c>
      <c r="F26" s="251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2">
        <f t="shared" si="4"/>
        <v>0</v>
      </c>
      <c r="Q26" s="236" t="e">
        <f>SUM(#REF!)</f>
        <v>#REF!</v>
      </c>
    </row>
    <row r="27" spans="1:15" ht="12.75">
      <c r="A27" s="266" t="s">
        <v>251</v>
      </c>
      <c r="B27" s="251">
        <v>0</v>
      </c>
      <c r="C27" s="251">
        <v>0</v>
      </c>
      <c r="D27" s="251">
        <v>0</v>
      </c>
      <c r="E27" s="251">
        <v>0</v>
      </c>
      <c r="F27" s="251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2">
        <f t="shared" si="4"/>
        <v>0</v>
      </c>
    </row>
    <row r="28" spans="1:19" ht="12.75">
      <c r="A28" s="237" t="s">
        <v>210</v>
      </c>
      <c r="B28" s="251">
        <v>0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2">
        <f t="shared" si="4"/>
        <v>0</v>
      </c>
      <c r="Q28" s="236">
        <v>0</v>
      </c>
      <c r="S28" s="236">
        <v>0</v>
      </c>
    </row>
    <row r="29" spans="1:19" ht="13.5" thickBot="1">
      <c r="A29" s="267" t="s">
        <v>23</v>
      </c>
      <c r="B29" s="268">
        <v>0</v>
      </c>
      <c r="C29" s="268">
        <v>0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  <c r="I29" s="268">
        <v>0</v>
      </c>
      <c r="J29" s="268">
        <v>0</v>
      </c>
      <c r="K29" s="268">
        <v>0</v>
      </c>
      <c r="L29" s="268">
        <v>0</v>
      </c>
      <c r="M29" s="268">
        <v>0</v>
      </c>
      <c r="N29" s="268">
        <v>0</v>
      </c>
      <c r="O29" s="269">
        <f t="shared" si="4"/>
        <v>0</v>
      </c>
      <c r="Q29" s="236">
        <v>0</v>
      </c>
      <c r="S29" s="236">
        <v>0</v>
      </c>
    </row>
    <row r="30" spans="1:17" ht="13.5" thickBot="1">
      <c r="A30" s="270" t="s">
        <v>24</v>
      </c>
      <c r="B30" s="271">
        <f>SUM(B14:B29)</f>
        <v>0</v>
      </c>
      <c r="C30" s="271">
        <f>SUM(C14:C29)</f>
        <v>0</v>
      </c>
      <c r="D30" s="271">
        <f aca="true" t="shared" si="5" ref="D30:N30">SUM(D14:D29)</f>
        <v>0</v>
      </c>
      <c r="E30" s="271">
        <f t="shared" si="5"/>
        <v>0</v>
      </c>
      <c r="F30" s="271">
        <f t="shared" si="5"/>
        <v>0</v>
      </c>
      <c r="G30" s="271">
        <f t="shared" si="5"/>
        <v>0</v>
      </c>
      <c r="H30" s="271">
        <f t="shared" si="5"/>
        <v>0</v>
      </c>
      <c r="I30" s="271">
        <f t="shared" si="5"/>
        <v>0</v>
      </c>
      <c r="J30" s="271">
        <f t="shared" si="5"/>
        <v>0</v>
      </c>
      <c r="K30" s="271">
        <f t="shared" si="5"/>
        <v>0</v>
      </c>
      <c r="L30" s="271">
        <f t="shared" si="5"/>
        <v>0</v>
      </c>
      <c r="M30" s="271">
        <f>SUM(M14:M29)</f>
        <v>0</v>
      </c>
      <c r="N30" s="271">
        <f t="shared" si="5"/>
        <v>0</v>
      </c>
      <c r="O30" s="272">
        <f t="shared" si="4"/>
        <v>0</v>
      </c>
      <c r="Q30" s="236" t="e">
        <f>SUM(Q14:Q29)</f>
        <v>#REF!</v>
      </c>
    </row>
    <row r="31" spans="1:19" ht="12.75">
      <c r="A31" s="273" t="s">
        <v>254</v>
      </c>
      <c r="B31" s="256">
        <v>0</v>
      </c>
      <c r="C31" s="256">
        <v>0</v>
      </c>
      <c r="D31" s="256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7">
        <f>SUM(C31:N31)</f>
        <v>0</v>
      </c>
      <c r="Q31" s="236" t="e">
        <f>SUM(#REF!)</f>
        <v>#REF!</v>
      </c>
      <c r="S31" s="236" t="e">
        <f>SUM(#REF!)</f>
        <v>#REF!</v>
      </c>
    </row>
    <row r="32" spans="1:15" ht="12.75">
      <c r="A32" s="266" t="s">
        <v>255</v>
      </c>
      <c r="B32" s="251">
        <v>0</v>
      </c>
      <c r="C32" s="251">
        <v>0</v>
      </c>
      <c r="D32" s="251">
        <v>0</v>
      </c>
      <c r="E32" s="251">
        <v>0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2">
        <f>SUM(C32:N32)</f>
        <v>0</v>
      </c>
    </row>
    <row r="33" spans="1:17" ht="12.75">
      <c r="A33" s="237" t="s">
        <v>91</v>
      </c>
      <c r="B33" s="251">
        <v>0</v>
      </c>
      <c r="C33" s="251">
        <v>0</v>
      </c>
      <c r="D33" s="251">
        <v>0</v>
      </c>
      <c r="E33" s="251">
        <v>0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2">
        <f t="shared" si="4"/>
        <v>0</v>
      </c>
      <c r="Q33" s="236">
        <v>0</v>
      </c>
    </row>
    <row r="34" spans="1:15" ht="12.75">
      <c r="A34" s="237" t="s">
        <v>92</v>
      </c>
      <c r="B34" s="251">
        <v>0</v>
      </c>
      <c r="C34" s="251">
        <v>0</v>
      </c>
      <c r="D34" s="251">
        <v>0</v>
      </c>
      <c r="E34" s="251">
        <v>0</v>
      </c>
      <c r="F34" s="251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2"/>
    </row>
    <row r="35" spans="1:15" ht="12.75">
      <c r="A35" s="237" t="s">
        <v>25</v>
      </c>
      <c r="B35" s="251">
        <v>0</v>
      </c>
      <c r="C35" s="251">
        <v>0</v>
      </c>
      <c r="D35" s="251">
        <v>0</v>
      </c>
      <c r="E35" s="251">
        <v>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2">
        <f t="shared" si="4"/>
        <v>0</v>
      </c>
    </row>
    <row r="36" spans="1:19" ht="13.5" thickBot="1">
      <c r="A36" s="267" t="s">
        <v>26</v>
      </c>
      <c r="B36" s="268">
        <v>0</v>
      </c>
      <c r="C36" s="268">
        <v>0</v>
      </c>
      <c r="D36" s="268">
        <v>0</v>
      </c>
      <c r="E36" s="268">
        <v>0</v>
      </c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8">
        <v>0</v>
      </c>
      <c r="N36" s="268">
        <v>0</v>
      </c>
      <c r="O36" s="269">
        <f t="shared" si="4"/>
        <v>0</v>
      </c>
      <c r="Q36" s="236">
        <v>0</v>
      </c>
      <c r="S36" s="236">
        <v>0</v>
      </c>
    </row>
    <row r="37" spans="1:19" ht="13.5" thickBot="1">
      <c r="A37" s="270" t="s">
        <v>27</v>
      </c>
      <c r="B37" s="271">
        <f>SUM(B30:B36)</f>
        <v>0</v>
      </c>
      <c r="C37" s="271">
        <f aca="true" t="shared" si="6" ref="C37:N37">SUM(C30:C36)</f>
        <v>0</v>
      </c>
      <c r="D37" s="271">
        <f t="shared" si="6"/>
        <v>0</v>
      </c>
      <c r="E37" s="271">
        <f t="shared" si="6"/>
        <v>0</v>
      </c>
      <c r="F37" s="271">
        <f t="shared" si="6"/>
        <v>0</v>
      </c>
      <c r="G37" s="271">
        <f t="shared" si="6"/>
        <v>0</v>
      </c>
      <c r="H37" s="271">
        <f t="shared" si="6"/>
        <v>0</v>
      </c>
      <c r="I37" s="271">
        <f t="shared" si="6"/>
        <v>0</v>
      </c>
      <c r="J37" s="271">
        <f t="shared" si="6"/>
        <v>0</v>
      </c>
      <c r="K37" s="271">
        <f t="shared" si="6"/>
        <v>0</v>
      </c>
      <c r="L37" s="271">
        <f t="shared" si="6"/>
        <v>0</v>
      </c>
      <c r="M37" s="271">
        <f t="shared" si="6"/>
        <v>0</v>
      </c>
      <c r="N37" s="271">
        <f t="shared" si="6"/>
        <v>0</v>
      </c>
      <c r="O37" s="272">
        <f t="shared" si="4"/>
        <v>0</v>
      </c>
      <c r="Q37" s="236" t="e">
        <f>SUM(Q30:Q36)</f>
        <v>#REF!</v>
      </c>
      <c r="S37" s="236" t="e">
        <f>SUM(S30:S36)</f>
        <v>#REF!</v>
      </c>
    </row>
    <row r="38" spans="1:19" ht="13.5" thickBot="1">
      <c r="A38" s="274" t="s">
        <v>93</v>
      </c>
      <c r="B38" s="275">
        <f aca="true" t="shared" si="7" ref="B38:N38">B12-B37</f>
        <v>0</v>
      </c>
      <c r="C38" s="275">
        <f t="shared" si="7"/>
        <v>0</v>
      </c>
      <c r="D38" s="275">
        <f t="shared" si="7"/>
        <v>0</v>
      </c>
      <c r="E38" s="275">
        <f t="shared" si="7"/>
        <v>0</v>
      </c>
      <c r="F38" s="275">
        <f t="shared" si="7"/>
        <v>0</v>
      </c>
      <c r="G38" s="275">
        <f t="shared" si="7"/>
        <v>0</v>
      </c>
      <c r="H38" s="275">
        <f t="shared" si="7"/>
        <v>0</v>
      </c>
      <c r="I38" s="275">
        <f t="shared" si="7"/>
        <v>0</v>
      </c>
      <c r="J38" s="275">
        <f t="shared" si="7"/>
        <v>0</v>
      </c>
      <c r="K38" s="275">
        <f t="shared" si="7"/>
        <v>0</v>
      </c>
      <c r="L38" s="275">
        <f t="shared" si="7"/>
        <v>0</v>
      </c>
      <c r="M38" s="275">
        <f t="shared" si="7"/>
        <v>0</v>
      </c>
      <c r="N38" s="275">
        <f t="shared" si="7"/>
        <v>0</v>
      </c>
      <c r="O38" s="275"/>
      <c r="Q38" s="236" t="e">
        <f>Q12-Q37</f>
        <v>#REF!</v>
      </c>
      <c r="S38" s="236" t="e">
        <f>S12-S37</f>
        <v>#REF!</v>
      </c>
    </row>
    <row r="39" ht="13.5" thickTop="1"/>
    <row r="40" ht="12.75">
      <c r="A40" s="276" t="s">
        <v>253</v>
      </c>
    </row>
    <row r="41" ht="12.75">
      <c r="A41" s="277" t="s">
        <v>252</v>
      </c>
    </row>
    <row r="42" ht="13.5" customHeight="1"/>
    <row r="43" ht="12.75" hidden="1">
      <c r="C43" s="236" t="s">
        <v>117</v>
      </c>
    </row>
    <row r="44" spans="1:3" ht="12.75" hidden="1">
      <c r="A44" s="236" t="s">
        <v>116</v>
      </c>
      <c r="B44" s="236">
        <f>IF($B$38=0,$C$44,$B$38)</f>
        <v>0</v>
      </c>
      <c r="C44" s="236">
        <v>0</v>
      </c>
    </row>
    <row r="45" ht="12.75" hidden="1"/>
    <row r="46" ht="12.75" hidden="1"/>
    <row r="47" spans="1:2" ht="12.75" hidden="1">
      <c r="A47" s="236" t="s">
        <v>124</v>
      </c>
      <c r="B47" s="236" t="s">
        <v>115</v>
      </c>
    </row>
    <row r="48" spans="2:14" ht="12.75" hidden="1">
      <c r="B48" s="236" t="s">
        <v>102</v>
      </c>
      <c r="C48" s="236" t="s">
        <v>103</v>
      </c>
      <c r="D48" s="236" t="s">
        <v>104</v>
      </c>
      <c r="E48" s="236" t="s">
        <v>105</v>
      </c>
      <c r="F48" s="236" t="s">
        <v>106</v>
      </c>
      <c r="G48" s="236" t="s">
        <v>107</v>
      </c>
      <c r="H48" s="236" t="s">
        <v>108</v>
      </c>
      <c r="I48" s="236" t="s">
        <v>109</v>
      </c>
      <c r="J48" s="236" t="s">
        <v>110</v>
      </c>
      <c r="K48" s="236" t="s">
        <v>111</v>
      </c>
      <c r="L48" s="236" t="s">
        <v>112</v>
      </c>
      <c r="M48" s="236" t="s">
        <v>113</v>
      </c>
      <c r="N48" s="236" t="s">
        <v>29</v>
      </c>
    </row>
    <row r="49" spans="1:13" ht="12.75" hidden="1">
      <c r="A49" s="236" t="s">
        <v>138</v>
      </c>
      <c r="B49" s="236">
        <f aca="true" t="shared" si="8" ref="B49:M49">C8+B58</f>
        <v>0</v>
      </c>
      <c r="C49" s="236">
        <f t="shared" si="8"/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</row>
    <row r="50" spans="1:13" ht="12.75" hidden="1">
      <c r="A50" s="236" t="s">
        <v>114</v>
      </c>
      <c r="B50" s="236">
        <v>0.35</v>
      </c>
      <c r="C50" s="236">
        <v>0</v>
      </c>
      <c r="D50" s="236">
        <v>0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</row>
    <row r="51" ht="12.75" hidden="1">
      <c r="A51" s="236" t="s">
        <v>137</v>
      </c>
    </row>
    <row r="52" spans="1:14" ht="12.75" hidden="1">
      <c r="A52" s="236" t="s">
        <v>140</v>
      </c>
      <c r="B52" s="236">
        <v>0</v>
      </c>
      <c r="C52" s="236">
        <v>0</v>
      </c>
      <c r="D52" s="236">
        <v>0</v>
      </c>
      <c r="E52" s="236">
        <v>0</v>
      </c>
      <c r="F52" s="236">
        <v>0</v>
      </c>
      <c r="G52" s="236">
        <v>0</v>
      </c>
      <c r="H52" s="236">
        <v>0</v>
      </c>
      <c r="I52" s="236">
        <v>0</v>
      </c>
      <c r="J52" s="236">
        <v>0</v>
      </c>
      <c r="K52" s="236">
        <v>0</v>
      </c>
      <c r="L52" s="236">
        <v>0</v>
      </c>
      <c r="M52" s="236">
        <v>0</v>
      </c>
      <c r="N52" s="236">
        <f>SUM(B52:M52)</f>
        <v>0</v>
      </c>
    </row>
    <row r="53" spans="1:14" ht="12.75" hidden="1">
      <c r="A53" s="236" t="s">
        <v>139</v>
      </c>
      <c r="B53" s="236">
        <f>IF($B$47="yes",(B52+B61)*$B$50,(B52+BB61)*B50)</f>
        <v>0</v>
      </c>
      <c r="C53" s="236">
        <f aca="true" t="shared" si="9" ref="C53:M53">IF($B$47="yes",(C52+C61)*$B$50,(C52+BC61)*C50)</f>
        <v>0</v>
      </c>
      <c r="D53" s="236">
        <f t="shared" si="9"/>
        <v>0</v>
      </c>
      <c r="E53" s="236">
        <f t="shared" si="9"/>
        <v>0</v>
      </c>
      <c r="F53" s="236">
        <f t="shared" si="9"/>
        <v>0</v>
      </c>
      <c r="G53" s="236">
        <f t="shared" si="9"/>
        <v>0</v>
      </c>
      <c r="H53" s="236">
        <f t="shared" si="9"/>
        <v>0</v>
      </c>
      <c r="I53" s="236">
        <f t="shared" si="9"/>
        <v>0</v>
      </c>
      <c r="J53" s="236">
        <f t="shared" si="9"/>
        <v>0</v>
      </c>
      <c r="K53" s="236">
        <f t="shared" si="9"/>
        <v>0</v>
      </c>
      <c r="L53" s="236">
        <f t="shared" si="9"/>
        <v>0</v>
      </c>
      <c r="M53" s="236">
        <f t="shared" si="9"/>
        <v>0</v>
      </c>
      <c r="N53" s="236">
        <f>SUM(B53:M53)</f>
        <v>0</v>
      </c>
    </row>
    <row r="54" spans="1:14" ht="12.75" hidden="1">
      <c r="A54" s="236" t="s">
        <v>141</v>
      </c>
      <c r="B54" s="236">
        <v>0</v>
      </c>
      <c r="C54" s="236">
        <v>0</v>
      </c>
      <c r="D54" s="236">
        <v>0</v>
      </c>
      <c r="E54" s="236">
        <v>0</v>
      </c>
      <c r="F54" s="236">
        <v>0</v>
      </c>
      <c r="G54" s="236">
        <v>0</v>
      </c>
      <c r="H54" s="236">
        <v>0</v>
      </c>
      <c r="I54" s="236">
        <v>0</v>
      </c>
      <c r="J54" s="236">
        <v>0</v>
      </c>
      <c r="K54" s="236">
        <v>0</v>
      </c>
      <c r="L54" s="236">
        <v>0</v>
      </c>
      <c r="M54" s="236">
        <v>0</v>
      </c>
      <c r="N54" s="236">
        <f>SUM(B54:M54)</f>
        <v>0</v>
      </c>
    </row>
    <row r="55" spans="1:14" ht="12.75" hidden="1">
      <c r="A55" s="236" t="s">
        <v>142</v>
      </c>
      <c r="B55" s="236">
        <f>IF($B$47="yes",(B54+B63)*$B$50,(B54+BB63)*B50)</f>
        <v>0</v>
      </c>
      <c r="C55" s="236">
        <f aca="true" t="shared" si="10" ref="C55:M55">IF($B$47="yes",(C54+C63)*$B$50,(C54+BC63)*C50)</f>
        <v>0</v>
      </c>
      <c r="D55" s="236">
        <f t="shared" si="10"/>
        <v>0</v>
      </c>
      <c r="E55" s="236">
        <f t="shared" si="10"/>
        <v>0</v>
      </c>
      <c r="F55" s="236">
        <f t="shared" si="10"/>
        <v>0</v>
      </c>
      <c r="G55" s="236">
        <f t="shared" si="10"/>
        <v>0</v>
      </c>
      <c r="H55" s="236">
        <f t="shared" si="10"/>
        <v>0</v>
      </c>
      <c r="I55" s="236">
        <f t="shared" si="10"/>
        <v>0</v>
      </c>
      <c r="J55" s="236">
        <f t="shared" si="10"/>
        <v>0</v>
      </c>
      <c r="K55" s="236">
        <f t="shared" si="10"/>
        <v>0</v>
      </c>
      <c r="L55" s="236">
        <f t="shared" si="10"/>
        <v>0</v>
      </c>
      <c r="M55" s="236">
        <f t="shared" si="10"/>
        <v>0</v>
      </c>
      <c r="N55" s="236">
        <f>SUM(B55:M55)</f>
        <v>0</v>
      </c>
    </row>
    <row r="56" ht="12.75" hidden="1"/>
    <row r="57" spans="1:13" ht="12.75" hidden="1">
      <c r="A57" s="236" t="s">
        <v>118</v>
      </c>
      <c r="B57" s="236" t="s">
        <v>102</v>
      </c>
      <c r="C57" s="236" t="s">
        <v>103</v>
      </c>
      <c r="D57" s="236" t="s">
        <v>104</v>
      </c>
      <c r="E57" s="236" t="s">
        <v>105</v>
      </c>
      <c r="F57" s="236" t="s">
        <v>106</v>
      </c>
      <c r="G57" s="236" t="s">
        <v>107</v>
      </c>
      <c r="H57" s="236" t="s">
        <v>108</v>
      </c>
      <c r="I57" s="236" t="s">
        <v>109</v>
      </c>
      <c r="J57" s="236" t="s">
        <v>110</v>
      </c>
      <c r="K57" s="236" t="s">
        <v>111</v>
      </c>
      <c r="L57" s="236" t="s">
        <v>112</v>
      </c>
      <c r="M57" s="236" t="s">
        <v>113</v>
      </c>
    </row>
    <row r="58" spans="1:13" ht="12.75" hidden="1">
      <c r="A58" s="236" t="s">
        <v>136</v>
      </c>
      <c r="B58" s="236">
        <v>0</v>
      </c>
      <c r="C58" s="236">
        <v>0</v>
      </c>
      <c r="D58" s="236">
        <v>0</v>
      </c>
      <c r="E58" s="236">
        <v>0</v>
      </c>
      <c r="F58" s="236">
        <v>0</v>
      </c>
      <c r="G58" s="236">
        <v>0</v>
      </c>
      <c r="H58" s="236">
        <v>0</v>
      </c>
      <c r="I58" s="236">
        <v>0</v>
      </c>
      <c r="J58" s="236">
        <v>0</v>
      </c>
      <c r="K58" s="236">
        <v>0</v>
      </c>
      <c r="L58" s="236">
        <v>0</v>
      </c>
      <c r="M58" s="236">
        <v>0</v>
      </c>
    </row>
    <row r="59" spans="1:13" ht="15" customHeight="1" hidden="1">
      <c r="A59" s="236" t="s">
        <v>119</v>
      </c>
      <c r="B59" s="236">
        <v>0</v>
      </c>
      <c r="C59" s="236">
        <v>0</v>
      </c>
      <c r="D59" s="236">
        <v>0</v>
      </c>
      <c r="E59" s="236">
        <v>0</v>
      </c>
      <c r="F59" s="236">
        <v>0</v>
      </c>
      <c r="G59" s="236">
        <v>0</v>
      </c>
      <c r="H59" s="236">
        <v>0</v>
      </c>
      <c r="I59" s="236">
        <v>0</v>
      </c>
      <c r="J59" s="236">
        <v>0</v>
      </c>
      <c r="K59" s="236">
        <v>0</v>
      </c>
      <c r="L59" s="236">
        <v>0</v>
      </c>
      <c r="M59" s="236">
        <v>0</v>
      </c>
    </row>
    <row r="60" ht="12.75" hidden="1">
      <c r="A60" s="278" t="s">
        <v>131</v>
      </c>
    </row>
    <row r="61" spans="1:14" ht="12.75" hidden="1">
      <c r="A61" s="278" t="s">
        <v>133</v>
      </c>
      <c r="B61" s="236">
        <v>0</v>
      </c>
      <c r="C61" s="236">
        <v>0</v>
      </c>
      <c r="D61" s="236">
        <v>0</v>
      </c>
      <c r="E61" s="236">
        <v>0</v>
      </c>
      <c r="F61" s="236">
        <v>0</v>
      </c>
      <c r="G61" s="236">
        <v>0</v>
      </c>
      <c r="H61" s="236">
        <v>0</v>
      </c>
      <c r="I61" s="236">
        <v>0</v>
      </c>
      <c r="J61" s="236">
        <v>0</v>
      </c>
      <c r="K61" s="236">
        <v>0</v>
      </c>
      <c r="L61" s="236">
        <v>0</v>
      </c>
      <c r="M61" s="236">
        <v>0</v>
      </c>
      <c r="N61" s="236">
        <f>SUM(B61:M61)</f>
        <v>0</v>
      </c>
    </row>
    <row r="62" spans="1:14" ht="12.75" hidden="1">
      <c r="A62" s="278" t="s">
        <v>132</v>
      </c>
      <c r="B62" s="236">
        <f>IF($B$59&lt;=1,$B$59*B61,)</f>
        <v>0</v>
      </c>
      <c r="C62" s="236">
        <f>IF($B$59+$C$59&lt;=1,($B$59*C61)+($C$59*B61),IF($B$59&gt;1,0,$B$59*C61))</f>
        <v>0</v>
      </c>
      <c r="D62" s="236">
        <f>IF($B$59+$C$59+$D$59&lt;=1,($B$59*D61)+($C$59*C61)+($D$59*B61))</f>
        <v>0</v>
      </c>
      <c r="E62" s="236">
        <f>IF($B$59+$C$59+$D$59+$E$59&lt;=1,($B$59*E61)+($C$59*D61)+($D$59*C61)+($E$59*B61))</f>
        <v>0</v>
      </c>
      <c r="F62" s="236">
        <f>IF($B$59+$C$59+$D$59+$E$59+$F$59&lt;=1,($B$59*F61)+($C$59*E61)+($D$59*D61)+($E$59*C61)+($F$59*B61))</f>
        <v>0</v>
      </c>
      <c r="G62" s="236">
        <f>IF($B$59+$C$59+$D$59+$E$59+$F$59+$G$59&lt;=1,($B$59*G61)+($C$59*F61)+($D$59*E61)+($E$59*D61)+($F$59*C61)+($G$59*B61))</f>
        <v>0</v>
      </c>
      <c r="H62" s="236">
        <f>IF($B$59+$C$59+$D$59+$E$59+$F$59+$G$59+$H$59&lt;=1,($B$59*H61)+($C$59*G61)+($D$59*F61)+($E$59*E61)+($F$59*D61)+($G$59*C61)+($H$59*B61))</f>
        <v>0</v>
      </c>
      <c r="I62" s="236">
        <f>IF($B$59+$C$59+$D$59+$E$59+$F$59+$G$59+$H$59+$I$59&lt;=1,($B$59*I61)+($C$59*H61)+($D$59*G61)+($E$59*F61)+($F$59*E61)+($G$59*D61)+($H$59*C61)+($I$59*B61))</f>
        <v>0</v>
      </c>
      <c r="J62" s="236">
        <f>IF($B$59+$C$59+$D$59+$E$59+$F$59+$G$59+$H$59+$I$59+$J$59&lt;=1,($B$59*J60)+($C$59*I60)+($D$59*H60)+($E$59*G60)+($F$59*F60)+($G$59*E60)+($H$59*D60)+($I$59*C60)+($J$59*B60))</f>
        <v>0</v>
      </c>
      <c r="K62" s="236">
        <f>IF($B$59+$C$59+$D$59+$E$59+$F$59+$G$59+$H$59+$I$59+$J$59+$K$59&lt;=1,($B$59*K60)+($C$59*J60)+($D$59*I60)+($E$59*H60)+($F$59*G60)+($G$59*F60)+($H$59*E60)+($I$59*D60)+($J$59*C60)+($K$59*B60))</f>
        <v>0</v>
      </c>
      <c r="L62" s="236">
        <f>IF($B$59+$C$59+$D$59+$E$59+$F$59+$G$59+$H$59+$I$59+$J$59+$K$59+$L$59&lt;=1,($B$59*L60)+($C$59*K60)+($D$59*J60)+($E$59*I60)+($F$59*H60)+($G$59*G60)+($H$59*F60)+($I$59*E60)+($J$59*D60)+($K$59*C60)+($L$59*B60))</f>
        <v>0</v>
      </c>
      <c r="M62" s="236">
        <f>IF($B$59+$C$59+$D$59+$E$59+$F$59+$G$59+$H$59+$I$59+$J$59+$K$59+$L$59+$M$59&lt;=1,($B$59*M60)+($C$59*L60)+($D$59*K60)+($E$59*J60)+($F$59*I60)+($G$59*H60)+($H$59*G60)+($I$59*F60)+($J$59*E60)+($K$59*D60)+($L$59*C60)+($M$59*B60))</f>
        <v>0</v>
      </c>
      <c r="N62" s="236">
        <f>SUM(B62:M62)</f>
        <v>0</v>
      </c>
    </row>
    <row r="63" spans="1:14" ht="12.75" hidden="1">
      <c r="A63" s="278" t="s">
        <v>134</v>
      </c>
      <c r="B63" s="236">
        <v>0</v>
      </c>
      <c r="C63" s="236">
        <v>0</v>
      </c>
      <c r="D63" s="236">
        <v>0</v>
      </c>
      <c r="E63" s="236">
        <v>0</v>
      </c>
      <c r="F63" s="236">
        <v>0</v>
      </c>
      <c r="G63" s="236">
        <v>0</v>
      </c>
      <c r="H63" s="236">
        <v>0</v>
      </c>
      <c r="I63" s="236">
        <v>0</v>
      </c>
      <c r="J63" s="236">
        <v>0</v>
      </c>
      <c r="K63" s="236">
        <v>0</v>
      </c>
      <c r="L63" s="236">
        <v>0</v>
      </c>
      <c r="M63" s="236">
        <v>0</v>
      </c>
      <c r="N63" s="236">
        <f>SUM(B63:M63)</f>
        <v>0</v>
      </c>
    </row>
    <row r="64" spans="1:14" ht="12.75" hidden="1">
      <c r="A64" s="278" t="s">
        <v>135</v>
      </c>
      <c r="B64" s="236">
        <f>IF($B$59&lt;=1,$B$59*B63,)</f>
        <v>0</v>
      </c>
      <c r="C64" s="236">
        <f>IF($B$59+$C$59&lt;=1,($B$59*C63)+($C$59*B63),IF($B$59&gt;1,0,$B$59*C63))</f>
        <v>0</v>
      </c>
      <c r="D64" s="236">
        <f>IF($B$59+$C$59+$D$59&lt;=1,($B$59*D63)+($C$59*C63)+($D$59*B63))</f>
        <v>0</v>
      </c>
      <c r="E64" s="236">
        <f>IF($B$59+$C$59+$D$59+$E$59&lt;=1,($B$59*E63)+($C$59*D63)+($D$59*C63)+($E$59*B63))</f>
        <v>0</v>
      </c>
      <c r="F64" s="236">
        <f>IF($B$59+$C$59+$D$59+$E$59+$F$59&lt;=1,($B$59*F63)+($C$59*E63)+($D$59*D63)+($E$59*C63)+($F$59*B63))</f>
        <v>0</v>
      </c>
      <c r="G64" s="236">
        <f>IF($B$59+$C$59+$D$59+$E$59+$F$59+$G$59&lt;=1,($B$59*G63)+($C$59*F63)+($D$59*E63)+($E$59*D63)+($F$59*C63)+($G$59*B63))</f>
        <v>0</v>
      </c>
      <c r="H64" s="236">
        <f>IF($B$59+$C$59+$D$59+$E$59+$F$59+$G$59+$H$59&lt;=1,($B$59*H63)+($C$59*G63)+($D$59*F63)+($E$59*E63)+($F$59*D63)+($G$59*C63)+($H$59*B63))</f>
        <v>0</v>
      </c>
      <c r="I64" s="236">
        <f>IF($B$59+$C$59+$D$59+$E$59+$F$59+$G$59+$H$59+$I$59&lt;=1,($B$59*I63)+($C$59*H63)+($D$59*G63)+($E$59*F63)+($F$59*E63)+($G$59*D63)+($H$59*C63)+($I$59*B63))</f>
        <v>0</v>
      </c>
      <c r="J64" s="236">
        <f>IF($B$59+$C$59+$D$59+$E$59+$F$59+$G$59+$H$59+$I$59+$J$59&lt;=1,($B$59*J62)+($C$59*I62)+($D$59*H62)+($E$59*G62)+($F$59*F62)+($G$59*E62)+($H$59*D62)+($I$59*C62)+($J$59*B62))</f>
        <v>0</v>
      </c>
      <c r="K64" s="236">
        <f>IF($B$59+$C$59+$D$59+$E$59+$F$59+$G$59+$H$59+$I$59+$J$59+$K$59&lt;=1,($B$59*K62)+($C$59*J62)+($D$59*I62)+($E$59*H62)+($F$59*G62)+($G$59*F62)+($H$59*E62)+($I$59*D62)+($J$59*C62)+($K$59*B62))</f>
        <v>0</v>
      </c>
      <c r="L64" s="236">
        <f>IF($B$59+$C$59+$D$59+$E$59+$F$59+$G$59+$H$59+$I$59+$J$59+$K$59+$L$59&lt;=1,($B$59*L62)+($C$59*K62)+($D$59*J62)+($E$59*I62)+($F$59*H62)+($G$59*G62)+($H$59*F62)+($I$59*E62)+($J$59*D62)+($K$59*C62)+($L$59*B62))</f>
        <v>0</v>
      </c>
      <c r="M64" s="236">
        <f>IF($B$59+$C$59+$D$59+$E$59+$F$59+$G$59+$H$59+$I$59+$J$59+$K$59+$L$59+$M$59&lt;=1,($B$59*M62)+($C$59*L62)+($D$59*K62)+($E$59*J62)+($F$59*I62)+($G$59*H62)+($H$59*G62)+($I$59*F62)+($J$59*E62)+($K$59*D62)+($L$59*C62)+($M$59*B62))</f>
        <v>0</v>
      </c>
      <c r="N64" s="236">
        <f>SUM(B64:M64)</f>
        <v>0</v>
      </c>
    </row>
    <row r="65" ht="12.75" hidden="1"/>
  </sheetData>
  <sheetProtection formatColumns="0" formatRows="0" insertColumns="0" insertRows="0"/>
  <mergeCells count="5">
    <mergeCell ref="B2:C2"/>
    <mergeCell ref="B3:C3"/>
    <mergeCell ref="A1:O1"/>
    <mergeCell ref="D2:O2"/>
    <mergeCell ref="D3:N3"/>
  </mergeCells>
  <printOptions/>
  <pageMargins left="0.35" right="0.35" top="0.5" bottom="0.5" header="0.5" footer="0.5"/>
  <pageSetup fitToHeight="1" fitToWidth="1" horizontalDpi="300" verticalDpi="300" orientation="landscape" paperSize="5" scale="95" r:id="rId1"/>
  <ignoredErrors>
    <ignoredError sqref="B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5" sqref="Q25"/>
    </sheetView>
  </sheetViews>
  <sheetFormatPr defaultColWidth="8.8515625" defaultRowHeight="12.75"/>
  <cols>
    <col min="1" max="1" width="28.421875" style="236" customWidth="1"/>
    <col min="2" max="2" width="13.28125" style="236" hidden="1" customWidth="1"/>
    <col min="3" max="3" width="14.57421875" style="236" bestFit="1" customWidth="1"/>
    <col min="4" max="14" width="11.421875" style="236" bestFit="1" customWidth="1"/>
    <col min="15" max="15" width="10.7109375" style="236" customWidth="1"/>
    <col min="16" max="16" width="3.57421875" style="236" customWidth="1"/>
    <col min="17" max="17" width="13.421875" style="236" customWidth="1"/>
    <col min="18" max="18" width="3.7109375" style="236" customWidth="1"/>
    <col min="19" max="16384" width="8.8515625" style="236" customWidth="1"/>
  </cols>
  <sheetData>
    <row r="1" spans="1:17" ht="15">
      <c r="A1" s="354" t="s">
        <v>120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6"/>
      <c r="Q1" s="279"/>
    </row>
    <row r="2" spans="1:17" ht="15">
      <c r="A2" s="367" t="s">
        <v>248</v>
      </c>
      <c r="B2" s="368"/>
      <c r="C2" s="369"/>
      <c r="D2" s="357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9"/>
      <c r="Q2" s="280"/>
    </row>
    <row r="3" spans="1:19" ht="15.75" thickBot="1">
      <c r="A3" s="267"/>
      <c r="B3" s="363" t="s">
        <v>247</v>
      </c>
      <c r="C3" s="363"/>
      <c r="D3" s="364"/>
      <c r="E3" s="365"/>
      <c r="F3" s="365"/>
      <c r="G3" s="365"/>
      <c r="H3" s="365"/>
      <c r="I3" s="365"/>
      <c r="J3" s="365"/>
      <c r="K3" s="365"/>
      <c r="L3" s="365"/>
      <c r="M3" s="365"/>
      <c r="N3" s="366"/>
      <c r="O3" s="281" t="s">
        <v>256</v>
      </c>
      <c r="Q3" s="282" t="s">
        <v>257</v>
      </c>
      <c r="S3" s="240" t="s">
        <v>209</v>
      </c>
    </row>
    <row r="4" spans="1:17" ht="20.25" customHeight="1">
      <c r="A4" s="248"/>
      <c r="B4" s="283" t="s">
        <v>123</v>
      </c>
      <c r="C4" s="283" t="s">
        <v>102</v>
      </c>
      <c r="D4" s="283" t="s">
        <v>103</v>
      </c>
      <c r="E4" s="283" t="s">
        <v>104</v>
      </c>
      <c r="F4" s="283" t="s">
        <v>105</v>
      </c>
      <c r="G4" s="283" t="s">
        <v>106</v>
      </c>
      <c r="H4" s="283" t="s">
        <v>107</v>
      </c>
      <c r="I4" s="283" t="s">
        <v>108</v>
      </c>
      <c r="J4" s="283" t="s">
        <v>109</v>
      </c>
      <c r="K4" s="283" t="s">
        <v>110</v>
      </c>
      <c r="L4" s="283" t="s">
        <v>111</v>
      </c>
      <c r="M4" s="283" t="s">
        <v>112</v>
      </c>
      <c r="N4" s="283" t="s">
        <v>113</v>
      </c>
      <c r="O4" s="284" t="s">
        <v>29</v>
      </c>
      <c r="P4" s="285"/>
      <c r="Q4" s="286" t="s">
        <v>29</v>
      </c>
    </row>
    <row r="5" spans="1:18" ht="14.25" customHeight="1">
      <c r="A5" s="237"/>
      <c r="B5" s="245" t="s">
        <v>28</v>
      </c>
      <c r="C5" s="245" t="s">
        <v>28</v>
      </c>
      <c r="D5" s="245" t="s">
        <v>28</v>
      </c>
      <c r="E5" s="245" t="s">
        <v>28</v>
      </c>
      <c r="F5" s="245" t="s">
        <v>28</v>
      </c>
      <c r="G5" s="245" t="s">
        <v>28</v>
      </c>
      <c r="H5" s="245" t="s">
        <v>28</v>
      </c>
      <c r="I5" s="245" t="s">
        <v>28</v>
      </c>
      <c r="J5" s="245" t="s">
        <v>28</v>
      </c>
      <c r="K5" s="245" t="s">
        <v>28</v>
      </c>
      <c r="L5" s="245" t="s">
        <v>28</v>
      </c>
      <c r="M5" s="245" t="s">
        <v>28</v>
      </c>
      <c r="N5" s="245" t="s">
        <v>28</v>
      </c>
      <c r="O5" s="246" t="s">
        <v>28</v>
      </c>
      <c r="P5" s="287"/>
      <c r="Q5" s="288" t="s">
        <v>28</v>
      </c>
      <c r="R5" s="244"/>
    </row>
    <row r="6" spans="1:17" s="244" customFormat="1" ht="13.5" thickBot="1">
      <c r="A6" s="289"/>
      <c r="B6" s="290"/>
      <c r="C6" s="290" t="s">
        <v>223</v>
      </c>
      <c r="D6" s="290" t="s">
        <v>224</v>
      </c>
      <c r="E6" s="290" t="s">
        <v>213</v>
      </c>
      <c r="F6" s="290" t="s">
        <v>214</v>
      </c>
      <c r="G6" s="290" t="s">
        <v>215</v>
      </c>
      <c r="H6" s="290" t="s">
        <v>216</v>
      </c>
      <c r="I6" s="290" t="s">
        <v>217</v>
      </c>
      <c r="J6" s="290" t="s">
        <v>218</v>
      </c>
      <c r="K6" s="290" t="s">
        <v>219</v>
      </c>
      <c r="L6" s="290" t="s">
        <v>220</v>
      </c>
      <c r="M6" s="290" t="s">
        <v>221</v>
      </c>
      <c r="N6" s="290" t="s">
        <v>222</v>
      </c>
      <c r="O6" s="291" t="s">
        <v>209</v>
      </c>
      <c r="P6" s="287"/>
      <c r="Q6" s="292"/>
    </row>
    <row r="7" spans="1:17" ht="12.75">
      <c r="A7" s="241" t="s">
        <v>6</v>
      </c>
      <c r="B7" s="256"/>
      <c r="C7" s="256">
        <f>' Cash Flow Yr 1'!N38</f>
        <v>0</v>
      </c>
      <c r="D7" s="256">
        <f>C38</f>
        <v>0</v>
      </c>
      <c r="E7" s="256">
        <f aca="true" t="shared" si="0" ref="E7:N7">D38</f>
        <v>0</v>
      </c>
      <c r="F7" s="256">
        <f t="shared" si="0"/>
        <v>0</v>
      </c>
      <c r="G7" s="256">
        <f t="shared" si="0"/>
        <v>0</v>
      </c>
      <c r="H7" s="256">
        <f t="shared" si="0"/>
        <v>0</v>
      </c>
      <c r="I7" s="256">
        <f t="shared" si="0"/>
        <v>0</v>
      </c>
      <c r="J7" s="256">
        <f t="shared" si="0"/>
        <v>0</v>
      </c>
      <c r="K7" s="256">
        <f t="shared" si="0"/>
        <v>0</v>
      </c>
      <c r="L7" s="256">
        <f t="shared" si="0"/>
        <v>0</v>
      </c>
      <c r="M7" s="256">
        <f t="shared" si="0"/>
        <v>0</v>
      </c>
      <c r="N7" s="256">
        <f t="shared" si="0"/>
        <v>0</v>
      </c>
      <c r="O7" s="257"/>
      <c r="P7" s="285"/>
      <c r="Q7" s="293">
        <f>N38</f>
        <v>0</v>
      </c>
    </row>
    <row r="8" spans="1:17" ht="12.75">
      <c r="A8" s="237" t="s">
        <v>7</v>
      </c>
      <c r="B8" s="251"/>
      <c r="C8" s="251">
        <v>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2">
        <f>SUM(C8:N8)</f>
        <v>0</v>
      </c>
      <c r="P8" s="285"/>
      <c r="Q8" s="294">
        <f>N52</f>
        <v>0</v>
      </c>
    </row>
    <row r="9" spans="1:17" ht="12.75">
      <c r="A9" s="237" t="s">
        <v>8</v>
      </c>
      <c r="B9" s="251"/>
      <c r="C9" s="251">
        <v>0</v>
      </c>
      <c r="D9" s="251">
        <f aca="true" t="shared" si="1" ref="D9:N9">C60</f>
        <v>0</v>
      </c>
      <c r="E9" s="251">
        <f t="shared" si="1"/>
        <v>0</v>
      </c>
      <c r="F9" s="251">
        <f t="shared" si="1"/>
        <v>0</v>
      </c>
      <c r="G9" s="251">
        <f t="shared" si="1"/>
        <v>0</v>
      </c>
      <c r="H9" s="251">
        <f t="shared" si="1"/>
        <v>0</v>
      </c>
      <c r="I9" s="251">
        <f t="shared" si="1"/>
        <v>0</v>
      </c>
      <c r="J9" s="251">
        <f t="shared" si="1"/>
        <v>0</v>
      </c>
      <c r="K9" s="251">
        <f t="shared" si="1"/>
        <v>0</v>
      </c>
      <c r="L9" s="251">
        <f t="shared" si="1"/>
        <v>0</v>
      </c>
      <c r="M9" s="251">
        <f t="shared" si="1"/>
        <v>0</v>
      </c>
      <c r="N9" s="251">
        <f t="shared" si="1"/>
        <v>0</v>
      </c>
      <c r="O9" s="252">
        <f>SUM(C9:N9)</f>
        <v>0</v>
      </c>
      <c r="P9" s="285"/>
      <c r="Q9" s="294">
        <f>N62</f>
        <v>0</v>
      </c>
    </row>
    <row r="10" spans="1:17" ht="13.5" thickBot="1">
      <c r="A10" s="267" t="s">
        <v>90</v>
      </c>
      <c r="B10" s="268" t="e">
        <f>'Sources-Uses'!#REF!+SUM('Sources-Uses'!#REF!)</f>
        <v>#REF!</v>
      </c>
      <c r="C10" s="268">
        <v>0</v>
      </c>
      <c r="D10" s="268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68">
        <v>0</v>
      </c>
      <c r="O10" s="269">
        <f>SUM(C10:N10)</f>
        <v>0</v>
      </c>
      <c r="P10" s="285"/>
      <c r="Q10" s="295"/>
    </row>
    <row r="11" spans="1:17" ht="13.5" thickBot="1">
      <c r="A11" s="296" t="s">
        <v>9</v>
      </c>
      <c r="B11" s="271" t="e">
        <f>SUM(B8:B10)</f>
        <v>#REF!</v>
      </c>
      <c r="C11" s="271">
        <f>SUM(C8:C10)</f>
        <v>0</v>
      </c>
      <c r="D11" s="271">
        <f aca="true" t="shared" si="2" ref="D11:N11">SUM(D8:D10)</f>
        <v>0</v>
      </c>
      <c r="E11" s="271">
        <f t="shared" si="2"/>
        <v>0</v>
      </c>
      <c r="F11" s="271">
        <f t="shared" si="2"/>
        <v>0</v>
      </c>
      <c r="G11" s="271">
        <f t="shared" si="2"/>
        <v>0</v>
      </c>
      <c r="H11" s="271">
        <f t="shared" si="2"/>
        <v>0</v>
      </c>
      <c r="I11" s="271">
        <f t="shared" si="2"/>
        <v>0</v>
      </c>
      <c r="J11" s="271">
        <f t="shared" si="2"/>
        <v>0</v>
      </c>
      <c r="K11" s="271">
        <f t="shared" si="2"/>
        <v>0</v>
      </c>
      <c r="L11" s="271">
        <f t="shared" si="2"/>
        <v>0</v>
      </c>
      <c r="M11" s="271">
        <f t="shared" si="2"/>
        <v>0</v>
      </c>
      <c r="N11" s="271">
        <f t="shared" si="2"/>
        <v>0</v>
      </c>
      <c r="O11" s="272">
        <f>SUM(C11:N11)</f>
        <v>0</v>
      </c>
      <c r="P11" s="285"/>
      <c r="Q11" s="297">
        <f>SUM(Q8:Q10)</f>
        <v>0</v>
      </c>
    </row>
    <row r="12" spans="1:17" ht="13.5" thickBot="1">
      <c r="A12" s="298" t="s">
        <v>10</v>
      </c>
      <c r="B12" s="275" t="e">
        <f>SUM(B7:B10)</f>
        <v>#REF!</v>
      </c>
      <c r="C12" s="275">
        <f>SUM(C7:C10)</f>
        <v>0</v>
      </c>
      <c r="D12" s="275">
        <f aca="true" t="shared" si="3" ref="D12:N12">SUM(D7:D10)</f>
        <v>0</v>
      </c>
      <c r="E12" s="275">
        <f t="shared" si="3"/>
        <v>0</v>
      </c>
      <c r="F12" s="275">
        <f t="shared" si="3"/>
        <v>0</v>
      </c>
      <c r="G12" s="275">
        <f t="shared" si="3"/>
        <v>0</v>
      </c>
      <c r="H12" s="275">
        <f t="shared" si="3"/>
        <v>0</v>
      </c>
      <c r="I12" s="275">
        <f t="shared" si="3"/>
        <v>0</v>
      </c>
      <c r="J12" s="275">
        <f t="shared" si="3"/>
        <v>0</v>
      </c>
      <c r="K12" s="275">
        <f t="shared" si="3"/>
        <v>0</v>
      </c>
      <c r="L12" s="275">
        <f t="shared" si="3"/>
        <v>0</v>
      </c>
      <c r="M12" s="275">
        <f t="shared" si="3"/>
        <v>0</v>
      </c>
      <c r="N12" s="275">
        <f t="shared" si="3"/>
        <v>0</v>
      </c>
      <c r="O12" s="299"/>
      <c r="P12" s="285"/>
      <c r="Q12" s="300">
        <f>SUM(Q7:Q10)</f>
        <v>0</v>
      </c>
    </row>
    <row r="13" spans="1:17" ht="14.25" thickBot="1" thickTop="1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3"/>
      <c r="P13" s="285"/>
      <c r="Q13" s="304"/>
    </row>
    <row r="14" spans="1:17" ht="12.75">
      <c r="A14" s="248" t="s">
        <v>11</v>
      </c>
      <c r="B14" s="249"/>
      <c r="C14" s="249">
        <v>0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50">
        <f>SUM(C14:N14)</f>
        <v>0</v>
      </c>
      <c r="P14" s="280"/>
      <c r="Q14" s="305">
        <f>N53</f>
        <v>0</v>
      </c>
    </row>
    <row r="15" spans="1:17" ht="12.75">
      <c r="A15" s="237" t="s">
        <v>12</v>
      </c>
      <c r="B15" s="251"/>
      <c r="C15" s="251">
        <v>0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2">
        <f aca="true" t="shared" si="4" ref="O15:O37">SUM(C15:N15)</f>
        <v>0</v>
      </c>
      <c r="P15" s="280"/>
      <c r="Q15" s="294">
        <v>0</v>
      </c>
    </row>
    <row r="16" spans="1:17" ht="12.75">
      <c r="A16" s="237" t="s">
        <v>13</v>
      </c>
      <c r="B16" s="251"/>
      <c r="C16" s="251">
        <v>0</v>
      </c>
      <c r="D16" s="251">
        <v>0</v>
      </c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2">
        <f t="shared" si="4"/>
        <v>0</v>
      </c>
      <c r="P16" s="280"/>
      <c r="Q16" s="294">
        <v>0</v>
      </c>
    </row>
    <row r="17" spans="1:17" ht="12.75">
      <c r="A17" s="237" t="s">
        <v>14</v>
      </c>
      <c r="B17" s="251"/>
      <c r="C17" s="251">
        <v>0</v>
      </c>
      <c r="D17" s="251">
        <v>0</v>
      </c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2">
        <f t="shared" si="4"/>
        <v>0</v>
      </c>
      <c r="P17" s="280"/>
      <c r="Q17" s="294">
        <v>0</v>
      </c>
    </row>
    <row r="18" spans="1:17" ht="12.75">
      <c r="A18" s="237" t="s">
        <v>15</v>
      </c>
      <c r="B18" s="251"/>
      <c r="C18" s="251">
        <v>0</v>
      </c>
      <c r="D18" s="251">
        <v>0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2">
        <f t="shared" si="4"/>
        <v>0</v>
      </c>
      <c r="P18" s="280"/>
      <c r="Q18" s="294">
        <v>0</v>
      </c>
    </row>
    <row r="19" spans="1:17" ht="12.75">
      <c r="A19" s="237" t="s">
        <v>16</v>
      </c>
      <c r="B19" s="251"/>
      <c r="C19" s="251">
        <v>0</v>
      </c>
      <c r="D19" s="251">
        <v>0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2">
        <f t="shared" si="4"/>
        <v>0</v>
      </c>
      <c r="P19" s="280"/>
      <c r="Q19" s="294">
        <v>0</v>
      </c>
    </row>
    <row r="20" spans="1:17" ht="12.75">
      <c r="A20" s="237" t="s">
        <v>17</v>
      </c>
      <c r="B20" s="251"/>
      <c r="C20" s="251">
        <v>0</v>
      </c>
      <c r="D20" s="251">
        <v>0</v>
      </c>
      <c r="E20" s="251">
        <v>0</v>
      </c>
      <c r="F20" s="251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52">
        <f t="shared" si="4"/>
        <v>0</v>
      </c>
      <c r="P20" s="280"/>
      <c r="Q20" s="294">
        <v>0</v>
      </c>
    </row>
    <row r="21" spans="1:17" ht="12.75">
      <c r="A21" s="237" t="s">
        <v>18</v>
      </c>
      <c r="B21" s="251"/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0</v>
      </c>
      <c r="N21" s="251">
        <v>0</v>
      </c>
      <c r="O21" s="252">
        <f t="shared" si="4"/>
        <v>0</v>
      </c>
      <c r="P21" s="280"/>
      <c r="Q21" s="294">
        <v>0</v>
      </c>
    </row>
    <row r="22" spans="1:17" ht="12.75">
      <c r="A22" s="237" t="s">
        <v>174</v>
      </c>
      <c r="B22" s="251"/>
      <c r="C22" s="251">
        <v>0</v>
      </c>
      <c r="D22" s="251">
        <v>0</v>
      </c>
      <c r="E22" s="251">
        <v>0</v>
      </c>
      <c r="F22" s="251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0</v>
      </c>
      <c r="O22" s="252">
        <f t="shared" si="4"/>
        <v>0</v>
      </c>
      <c r="P22" s="280"/>
      <c r="Q22" s="294">
        <v>0</v>
      </c>
    </row>
    <row r="23" spans="1:17" ht="12.75">
      <c r="A23" s="237" t="s">
        <v>19</v>
      </c>
      <c r="B23" s="251"/>
      <c r="C23" s="251">
        <v>0</v>
      </c>
      <c r="D23" s="251">
        <v>0</v>
      </c>
      <c r="E23" s="251">
        <v>0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52">
        <f t="shared" si="4"/>
        <v>0</v>
      </c>
      <c r="P23" s="280"/>
      <c r="Q23" s="294">
        <v>0</v>
      </c>
    </row>
    <row r="24" spans="1:17" ht="12.75">
      <c r="A24" s="237" t="s">
        <v>20</v>
      </c>
      <c r="B24" s="251"/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2">
        <f t="shared" si="4"/>
        <v>0</v>
      </c>
      <c r="P24" s="280"/>
      <c r="Q24" s="294">
        <v>0</v>
      </c>
    </row>
    <row r="25" spans="1:17" ht="12.75">
      <c r="A25" s="237" t="s">
        <v>21</v>
      </c>
      <c r="B25" s="251"/>
      <c r="C25" s="251">
        <v>0</v>
      </c>
      <c r="D25" s="251">
        <v>0</v>
      </c>
      <c r="E25" s="251">
        <v>0</v>
      </c>
      <c r="F25" s="251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2">
        <f t="shared" si="4"/>
        <v>0</v>
      </c>
      <c r="P25" s="280"/>
      <c r="Q25" s="294">
        <v>0</v>
      </c>
    </row>
    <row r="26" spans="1:17" ht="12.75">
      <c r="A26" s="266" t="s">
        <v>250</v>
      </c>
      <c r="B26" s="251"/>
      <c r="C26" s="251">
        <v>0</v>
      </c>
      <c r="D26" s="251">
        <v>0</v>
      </c>
      <c r="E26" s="251">
        <v>0</v>
      </c>
      <c r="F26" s="251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2">
        <f t="shared" si="4"/>
        <v>0</v>
      </c>
      <c r="P26" s="280"/>
      <c r="Q26" s="294">
        <f>SUM('Amortization-Bank'!D46:D57)</f>
        <v>0</v>
      </c>
    </row>
    <row r="27" spans="1:17" ht="12.75">
      <c r="A27" s="266" t="s">
        <v>251</v>
      </c>
      <c r="B27" s="251"/>
      <c r="C27" s="251">
        <v>0</v>
      </c>
      <c r="D27" s="251">
        <v>0</v>
      </c>
      <c r="E27" s="251">
        <v>0</v>
      </c>
      <c r="F27" s="251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2">
        <f t="shared" si="4"/>
        <v>0</v>
      </c>
      <c r="P27" s="280"/>
      <c r="Q27" s="294">
        <f>SUM('Amortization-Gap'!D46:D57)</f>
        <v>0</v>
      </c>
    </row>
    <row r="28" spans="1:17" ht="12.75">
      <c r="A28" s="237" t="s">
        <v>211</v>
      </c>
      <c r="B28" s="251"/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2">
        <f t="shared" si="4"/>
        <v>0</v>
      </c>
      <c r="P28" s="280"/>
      <c r="Q28" s="294">
        <v>0</v>
      </c>
    </row>
    <row r="29" spans="1:17" ht="13.5" thickBot="1">
      <c r="A29" s="267" t="s">
        <v>23</v>
      </c>
      <c r="B29" s="268"/>
      <c r="C29" s="268">
        <v>0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  <c r="I29" s="268">
        <v>0</v>
      </c>
      <c r="J29" s="268">
        <v>0</v>
      </c>
      <c r="K29" s="268">
        <v>0</v>
      </c>
      <c r="L29" s="268">
        <v>0</v>
      </c>
      <c r="M29" s="268">
        <v>0</v>
      </c>
      <c r="N29" s="268">
        <v>0</v>
      </c>
      <c r="O29" s="269">
        <f t="shared" si="4"/>
        <v>0</v>
      </c>
      <c r="P29" s="280"/>
      <c r="Q29" s="295">
        <v>0</v>
      </c>
    </row>
    <row r="30" spans="1:17" ht="13.5" thickBot="1">
      <c r="A30" s="306" t="s">
        <v>24</v>
      </c>
      <c r="B30" s="307">
        <f>SUM(B14:B29)</f>
        <v>0</v>
      </c>
      <c r="C30" s="271">
        <f>SUM(C14:C29)</f>
        <v>0</v>
      </c>
      <c r="D30" s="271">
        <f aca="true" t="shared" si="5" ref="D30:N30">SUM(D14:D29)</f>
        <v>0</v>
      </c>
      <c r="E30" s="271">
        <f t="shared" si="5"/>
        <v>0</v>
      </c>
      <c r="F30" s="271">
        <f t="shared" si="5"/>
        <v>0</v>
      </c>
      <c r="G30" s="271">
        <f t="shared" si="5"/>
        <v>0</v>
      </c>
      <c r="H30" s="271">
        <f t="shared" si="5"/>
        <v>0</v>
      </c>
      <c r="I30" s="271">
        <f t="shared" si="5"/>
        <v>0</v>
      </c>
      <c r="J30" s="271">
        <f t="shared" si="5"/>
        <v>0</v>
      </c>
      <c r="K30" s="271">
        <f t="shared" si="5"/>
        <v>0</v>
      </c>
      <c r="L30" s="271">
        <f t="shared" si="5"/>
        <v>0</v>
      </c>
      <c r="M30" s="271">
        <f>SUM(M14:M29)</f>
        <v>0</v>
      </c>
      <c r="N30" s="271">
        <f t="shared" si="5"/>
        <v>0</v>
      </c>
      <c r="O30" s="272">
        <f t="shared" si="4"/>
        <v>0</v>
      </c>
      <c r="P30" s="280"/>
      <c r="Q30" s="297">
        <f>SUM(Q14:Q29)</f>
        <v>0</v>
      </c>
    </row>
    <row r="31" spans="1:17" ht="12.75">
      <c r="A31" s="273" t="s">
        <v>254</v>
      </c>
      <c r="B31" s="256"/>
      <c r="C31" s="256">
        <v>0</v>
      </c>
      <c r="D31" s="256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80"/>
      <c r="Q31" s="293">
        <f>SUM('Amortization-Bank'!E46:E57)</f>
        <v>0</v>
      </c>
    </row>
    <row r="32" spans="1:17" ht="12.75">
      <c r="A32" s="266" t="s">
        <v>255</v>
      </c>
      <c r="B32" s="251"/>
      <c r="C32" s="251">
        <v>0</v>
      </c>
      <c r="D32" s="251">
        <v>0</v>
      </c>
      <c r="E32" s="251">
        <v>0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80"/>
      <c r="Q32" s="294">
        <f>SUM('Amortization-Gap'!E46:E57)</f>
        <v>0</v>
      </c>
    </row>
    <row r="33" spans="1:17" ht="12.75">
      <c r="A33" s="237" t="s">
        <v>91</v>
      </c>
      <c r="B33" s="251" t="e">
        <f>SUM('Sources-Uses'!#REF!)+'Sources-Uses'!#REF!</f>
        <v>#REF!</v>
      </c>
      <c r="C33" s="251">
        <v>0</v>
      </c>
      <c r="D33" s="251">
        <v>0</v>
      </c>
      <c r="E33" s="251">
        <v>0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80"/>
      <c r="Q33" s="294">
        <v>0</v>
      </c>
    </row>
    <row r="34" spans="1:17" ht="12.75">
      <c r="A34" s="237" t="s">
        <v>92</v>
      </c>
      <c r="B34" s="251" t="e">
        <f>'Sources-Uses'!#REF!</f>
        <v>#REF!</v>
      </c>
      <c r="C34" s="251">
        <v>0</v>
      </c>
      <c r="D34" s="251">
        <v>0</v>
      </c>
      <c r="E34" s="251">
        <v>0</v>
      </c>
      <c r="F34" s="251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80"/>
      <c r="Q34" s="294">
        <v>0</v>
      </c>
    </row>
    <row r="35" spans="1:17" ht="12.75">
      <c r="A35" s="237" t="s">
        <v>25</v>
      </c>
      <c r="B35" s="251"/>
      <c r="C35" s="251">
        <v>0</v>
      </c>
      <c r="D35" s="251">
        <v>0</v>
      </c>
      <c r="E35" s="251">
        <v>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80"/>
      <c r="Q35" s="294">
        <v>0</v>
      </c>
    </row>
    <row r="36" spans="1:17" ht="13.5" thickBot="1">
      <c r="A36" s="267" t="s">
        <v>26</v>
      </c>
      <c r="B36" s="268"/>
      <c r="C36" s="268">
        <v>0</v>
      </c>
      <c r="D36" s="268">
        <v>0</v>
      </c>
      <c r="E36" s="268">
        <v>0</v>
      </c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8">
        <v>0</v>
      </c>
      <c r="N36" s="268">
        <v>0</v>
      </c>
      <c r="O36" s="269">
        <f t="shared" si="4"/>
        <v>0</v>
      </c>
      <c r="P36" s="280"/>
      <c r="Q36" s="295">
        <v>0</v>
      </c>
    </row>
    <row r="37" spans="1:17" ht="13.5" thickBot="1">
      <c r="A37" s="270" t="s">
        <v>27</v>
      </c>
      <c r="B37" s="271" t="e">
        <f>SUM(B30:B36)</f>
        <v>#REF!</v>
      </c>
      <c r="C37" s="271">
        <f aca="true" t="shared" si="6" ref="C37:N37">SUM(C30:C36)</f>
        <v>0</v>
      </c>
      <c r="D37" s="271">
        <f t="shared" si="6"/>
        <v>0</v>
      </c>
      <c r="E37" s="271">
        <f t="shared" si="6"/>
        <v>0</v>
      </c>
      <c r="F37" s="271">
        <f t="shared" si="6"/>
        <v>0</v>
      </c>
      <c r="G37" s="271">
        <f t="shared" si="6"/>
        <v>0</v>
      </c>
      <c r="H37" s="271">
        <f t="shared" si="6"/>
        <v>0</v>
      </c>
      <c r="I37" s="271">
        <f t="shared" si="6"/>
        <v>0</v>
      </c>
      <c r="J37" s="271">
        <f t="shared" si="6"/>
        <v>0</v>
      </c>
      <c r="K37" s="271">
        <f t="shared" si="6"/>
        <v>0</v>
      </c>
      <c r="L37" s="271">
        <f t="shared" si="6"/>
        <v>0</v>
      </c>
      <c r="M37" s="271">
        <f t="shared" si="6"/>
        <v>0</v>
      </c>
      <c r="N37" s="271">
        <f t="shared" si="6"/>
        <v>0</v>
      </c>
      <c r="O37" s="272">
        <f t="shared" si="4"/>
        <v>0</v>
      </c>
      <c r="P37" s="280"/>
      <c r="Q37" s="297">
        <f>SUM(Q30:Q36)</f>
        <v>0</v>
      </c>
    </row>
    <row r="38" spans="1:17" ht="13.5" thickBot="1">
      <c r="A38" s="298" t="s">
        <v>93</v>
      </c>
      <c r="B38" s="275" t="e">
        <f aca="true" t="shared" si="7" ref="B38:N38">B12-B37</f>
        <v>#REF!</v>
      </c>
      <c r="C38" s="275">
        <f t="shared" si="7"/>
        <v>0</v>
      </c>
      <c r="D38" s="275">
        <f t="shared" si="7"/>
        <v>0</v>
      </c>
      <c r="E38" s="275">
        <f t="shared" si="7"/>
        <v>0</v>
      </c>
      <c r="F38" s="275">
        <f t="shared" si="7"/>
        <v>0</v>
      </c>
      <c r="G38" s="275">
        <f t="shared" si="7"/>
        <v>0</v>
      </c>
      <c r="H38" s="275">
        <f t="shared" si="7"/>
        <v>0</v>
      </c>
      <c r="I38" s="275">
        <f t="shared" si="7"/>
        <v>0</v>
      </c>
      <c r="J38" s="275">
        <f t="shared" si="7"/>
        <v>0</v>
      </c>
      <c r="K38" s="275">
        <f t="shared" si="7"/>
        <v>0</v>
      </c>
      <c r="L38" s="275">
        <f t="shared" si="7"/>
        <v>0</v>
      </c>
      <c r="M38" s="275">
        <f t="shared" si="7"/>
        <v>0</v>
      </c>
      <c r="N38" s="275">
        <f t="shared" si="7"/>
        <v>0</v>
      </c>
      <c r="O38" s="299"/>
      <c r="P38" s="308"/>
      <c r="Q38" s="300">
        <f>Q12-Q37</f>
        <v>0</v>
      </c>
    </row>
    <row r="39" ht="13.5" thickTop="1"/>
    <row r="40" ht="12.75">
      <c r="A40" s="276" t="s">
        <v>253</v>
      </c>
    </row>
    <row r="41" ht="12.75">
      <c r="A41" s="277" t="s">
        <v>252</v>
      </c>
    </row>
    <row r="42" ht="13.5" customHeight="1"/>
    <row r="43" ht="12.75" hidden="1">
      <c r="C43" s="236" t="s">
        <v>117</v>
      </c>
    </row>
    <row r="44" spans="1:3" ht="12.75" hidden="1">
      <c r="A44" s="236" t="s">
        <v>116</v>
      </c>
      <c r="B44" s="236" t="e">
        <f>IF($B$38=0,$C$44,$B$38)</f>
        <v>#REF!</v>
      </c>
      <c r="C44" s="236">
        <v>0</v>
      </c>
    </row>
    <row r="45" ht="12.75" hidden="1"/>
    <row r="46" ht="12.75" hidden="1"/>
    <row r="47" spans="1:2" ht="12.75" hidden="1">
      <c r="A47" s="236" t="s">
        <v>124</v>
      </c>
      <c r="B47" s="236" t="s">
        <v>115</v>
      </c>
    </row>
    <row r="48" spans="2:14" ht="12.75" hidden="1">
      <c r="B48" s="236" t="s">
        <v>102</v>
      </c>
      <c r="C48" s="236" t="s">
        <v>103</v>
      </c>
      <c r="D48" s="236" t="s">
        <v>104</v>
      </c>
      <c r="E48" s="236" t="s">
        <v>105</v>
      </c>
      <c r="F48" s="236" t="s">
        <v>106</v>
      </c>
      <c r="G48" s="236" t="s">
        <v>107</v>
      </c>
      <c r="H48" s="236" t="s">
        <v>108</v>
      </c>
      <c r="I48" s="236" t="s">
        <v>109</v>
      </c>
      <c r="J48" s="236" t="s">
        <v>110</v>
      </c>
      <c r="K48" s="236" t="s">
        <v>111</v>
      </c>
      <c r="L48" s="236" t="s">
        <v>112</v>
      </c>
      <c r="M48" s="236" t="s">
        <v>113</v>
      </c>
      <c r="N48" s="236" t="s">
        <v>29</v>
      </c>
    </row>
    <row r="49" spans="1:13" ht="12.75" hidden="1">
      <c r="A49" s="236" t="s">
        <v>138</v>
      </c>
      <c r="B49" s="236">
        <f aca="true" t="shared" si="8" ref="B49:M49">C8+B58</f>
        <v>0</v>
      </c>
      <c r="C49" s="236">
        <f t="shared" si="8"/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</row>
    <row r="50" spans="1:13" ht="12.75" hidden="1">
      <c r="A50" s="236" t="s">
        <v>114</v>
      </c>
      <c r="B50" s="236">
        <v>0.35</v>
      </c>
      <c r="C50" s="236">
        <v>0</v>
      </c>
      <c r="D50" s="236">
        <v>0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</row>
    <row r="51" spans="1:13" ht="12.75" hidden="1">
      <c r="A51" s="236" t="s">
        <v>137</v>
      </c>
      <c r="B51" s="236">
        <f>B49*B50</f>
        <v>0</v>
      </c>
      <c r="C51" s="236">
        <f aca="true" t="shared" si="9" ref="C51:M51">C49*C50</f>
        <v>0</v>
      </c>
      <c r="D51" s="236">
        <f t="shared" si="9"/>
        <v>0</v>
      </c>
      <c r="E51" s="236">
        <f t="shared" si="9"/>
        <v>0</v>
      </c>
      <c r="F51" s="236">
        <f t="shared" si="9"/>
        <v>0</v>
      </c>
      <c r="G51" s="236">
        <f t="shared" si="9"/>
        <v>0</v>
      </c>
      <c r="H51" s="236">
        <f t="shared" si="9"/>
        <v>0</v>
      </c>
      <c r="I51" s="236">
        <f t="shared" si="9"/>
        <v>0</v>
      </c>
      <c r="J51" s="236">
        <f t="shared" si="9"/>
        <v>0</v>
      </c>
      <c r="K51" s="236">
        <f t="shared" si="9"/>
        <v>0</v>
      </c>
      <c r="L51" s="236">
        <f t="shared" si="9"/>
        <v>0</v>
      </c>
      <c r="M51" s="236">
        <f t="shared" si="9"/>
        <v>0</v>
      </c>
    </row>
    <row r="52" spans="1:14" ht="12.75" hidden="1">
      <c r="A52" s="236" t="s">
        <v>140</v>
      </c>
      <c r="B52" s="236">
        <v>0</v>
      </c>
      <c r="C52" s="236">
        <v>0</v>
      </c>
      <c r="D52" s="236">
        <v>0</v>
      </c>
      <c r="E52" s="236">
        <v>0</v>
      </c>
      <c r="F52" s="236">
        <v>0</v>
      </c>
      <c r="G52" s="236">
        <v>0</v>
      </c>
      <c r="H52" s="236">
        <v>0</v>
      </c>
      <c r="I52" s="236">
        <v>0</v>
      </c>
      <c r="J52" s="236">
        <v>0</v>
      </c>
      <c r="K52" s="236">
        <v>0</v>
      </c>
      <c r="L52" s="236">
        <v>0</v>
      </c>
      <c r="M52" s="236">
        <v>0</v>
      </c>
      <c r="N52" s="236">
        <f>SUM(B52:M52)</f>
        <v>0</v>
      </c>
    </row>
    <row r="53" spans="1:14" ht="12.75" hidden="1">
      <c r="A53" s="236" t="s">
        <v>139</v>
      </c>
      <c r="B53" s="236">
        <f aca="true" t="shared" si="10" ref="B53:M53">IF($B$47="yes",(B52+B61)*$B$50,(B52+BA61)*B50)</f>
        <v>0</v>
      </c>
      <c r="C53" s="236">
        <f t="shared" si="10"/>
        <v>0</v>
      </c>
      <c r="D53" s="236">
        <f t="shared" si="10"/>
        <v>0</v>
      </c>
      <c r="E53" s="236">
        <f t="shared" si="10"/>
        <v>0</v>
      </c>
      <c r="F53" s="236">
        <f t="shared" si="10"/>
        <v>0</v>
      </c>
      <c r="G53" s="236">
        <f t="shared" si="10"/>
        <v>0</v>
      </c>
      <c r="H53" s="236">
        <f t="shared" si="10"/>
        <v>0</v>
      </c>
      <c r="I53" s="236">
        <f t="shared" si="10"/>
        <v>0</v>
      </c>
      <c r="J53" s="236">
        <f t="shared" si="10"/>
        <v>0</v>
      </c>
      <c r="K53" s="236">
        <f t="shared" si="10"/>
        <v>0</v>
      </c>
      <c r="L53" s="236">
        <f t="shared" si="10"/>
        <v>0</v>
      </c>
      <c r="M53" s="236">
        <f t="shared" si="10"/>
        <v>0</v>
      </c>
      <c r="N53" s="236">
        <f>SUM(B53:M53)</f>
        <v>0</v>
      </c>
    </row>
    <row r="54" spans="1:14" ht="12.75" hidden="1">
      <c r="A54" s="236" t="s">
        <v>141</v>
      </c>
      <c r="B54" s="236">
        <v>0</v>
      </c>
      <c r="C54" s="236">
        <v>0</v>
      </c>
      <c r="D54" s="236">
        <v>0</v>
      </c>
      <c r="E54" s="236">
        <v>0</v>
      </c>
      <c r="F54" s="236">
        <v>0</v>
      </c>
      <c r="G54" s="236">
        <v>0</v>
      </c>
      <c r="H54" s="236">
        <v>0</v>
      </c>
      <c r="I54" s="236">
        <v>0</v>
      </c>
      <c r="J54" s="236">
        <v>0</v>
      </c>
      <c r="K54" s="236">
        <v>0</v>
      </c>
      <c r="L54" s="236">
        <v>0</v>
      </c>
      <c r="M54" s="236">
        <v>0</v>
      </c>
      <c r="N54" s="236">
        <f>SUM(B54:M54)</f>
        <v>0</v>
      </c>
    </row>
    <row r="55" spans="1:14" ht="12.75" hidden="1">
      <c r="A55" s="236" t="s">
        <v>142</v>
      </c>
      <c r="B55" s="236">
        <f aca="true" t="shared" si="11" ref="B55:M55">IF($B$47="yes",(B54+B63)*$B$50,(B54+BA63)*B50)</f>
        <v>0</v>
      </c>
      <c r="C55" s="236">
        <f t="shared" si="11"/>
        <v>0</v>
      </c>
      <c r="D55" s="236">
        <f t="shared" si="11"/>
        <v>0</v>
      </c>
      <c r="E55" s="236">
        <f t="shared" si="11"/>
        <v>0</v>
      </c>
      <c r="F55" s="236">
        <f t="shared" si="11"/>
        <v>0</v>
      </c>
      <c r="G55" s="236">
        <f t="shared" si="11"/>
        <v>0</v>
      </c>
      <c r="H55" s="236">
        <f t="shared" si="11"/>
        <v>0</v>
      </c>
      <c r="I55" s="236">
        <f t="shared" si="11"/>
        <v>0</v>
      </c>
      <c r="J55" s="236">
        <f t="shared" si="11"/>
        <v>0</v>
      </c>
      <c r="K55" s="236">
        <f t="shared" si="11"/>
        <v>0</v>
      </c>
      <c r="L55" s="236">
        <f t="shared" si="11"/>
        <v>0</v>
      </c>
      <c r="M55" s="236">
        <f t="shared" si="11"/>
        <v>0</v>
      </c>
      <c r="N55" s="236">
        <f>SUM(B55:M55)</f>
        <v>0</v>
      </c>
    </row>
    <row r="56" ht="12.75" hidden="1"/>
    <row r="57" spans="1:13" ht="12.75" hidden="1">
      <c r="A57" s="236" t="s">
        <v>118</v>
      </c>
      <c r="B57" s="236" t="s">
        <v>102</v>
      </c>
      <c r="C57" s="236" t="s">
        <v>103</v>
      </c>
      <c r="D57" s="236" t="s">
        <v>104</v>
      </c>
      <c r="E57" s="236" t="s">
        <v>105</v>
      </c>
      <c r="F57" s="236" t="s">
        <v>106</v>
      </c>
      <c r="G57" s="236" t="s">
        <v>107</v>
      </c>
      <c r="H57" s="236" t="s">
        <v>108</v>
      </c>
      <c r="I57" s="236" t="s">
        <v>109</v>
      </c>
      <c r="J57" s="236" t="s">
        <v>110</v>
      </c>
      <c r="K57" s="236" t="s">
        <v>111</v>
      </c>
      <c r="L57" s="236" t="s">
        <v>112</v>
      </c>
      <c r="M57" s="236" t="s">
        <v>113</v>
      </c>
    </row>
    <row r="58" spans="1:13" ht="12.75" hidden="1">
      <c r="A58" s="236" t="s">
        <v>136</v>
      </c>
      <c r="B58" s="236">
        <v>0</v>
      </c>
      <c r="C58" s="236">
        <v>0</v>
      </c>
      <c r="D58" s="236">
        <v>0</v>
      </c>
      <c r="E58" s="236">
        <v>0</v>
      </c>
      <c r="F58" s="236">
        <v>0</v>
      </c>
      <c r="G58" s="236">
        <v>0</v>
      </c>
      <c r="H58" s="236">
        <v>0</v>
      </c>
      <c r="I58" s="236">
        <v>0</v>
      </c>
      <c r="J58" s="236">
        <v>0</v>
      </c>
      <c r="K58" s="236">
        <v>0</v>
      </c>
      <c r="L58" s="236">
        <v>0</v>
      </c>
      <c r="M58" s="236">
        <v>0</v>
      </c>
    </row>
    <row r="59" spans="1:13" ht="15" customHeight="1" hidden="1">
      <c r="A59" s="236" t="s">
        <v>119</v>
      </c>
      <c r="B59" s="236">
        <v>0</v>
      </c>
      <c r="C59" s="236">
        <v>0</v>
      </c>
      <c r="D59" s="236">
        <v>0</v>
      </c>
      <c r="E59" s="236">
        <v>0</v>
      </c>
      <c r="F59" s="236">
        <v>0</v>
      </c>
      <c r="G59" s="236">
        <v>0</v>
      </c>
      <c r="H59" s="236">
        <v>0</v>
      </c>
      <c r="I59" s="236">
        <v>0</v>
      </c>
      <c r="J59" s="236">
        <v>0</v>
      </c>
      <c r="K59" s="236">
        <v>0</v>
      </c>
      <c r="L59" s="236">
        <v>0</v>
      </c>
      <c r="M59" s="236">
        <v>0</v>
      </c>
    </row>
    <row r="60" spans="1:13" ht="12.75" hidden="1">
      <c r="A60" s="278" t="s">
        <v>131</v>
      </c>
      <c r="B60" s="236">
        <f>IF($B$59&lt;=1,$B$59*B58,)</f>
        <v>0</v>
      </c>
      <c r="C60" s="236">
        <f>IF($B$59+$C$59&lt;=1,($B$59*C58)+($C$59*B58),IF($B$59&gt;1,0,$B$59*C58))</f>
        <v>0</v>
      </c>
      <c r="D60" s="236">
        <f>IF($B$59+$C$59+$D$59&lt;=1,($B$59*D58)+($C$59*C58)+($D$59*B58))</f>
        <v>0</v>
      </c>
      <c r="E60" s="236">
        <f>IF($B$59+$C$59+$D$59+$E$59&lt;=1,($B$59*E58)+($C$59*D58)+($D$59*C58)+($E$59*B58))</f>
        <v>0</v>
      </c>
      <c r="F60" s="236">
        <f>IF($B$59+$C$59+$D$59+$E$59+$F$59&lt;=1,($B$59*F58)+($C$59*E58)+($D$59*D58)+($E$59*C58)+($F$59*B58))</f>
        <v>0</v>
      </c>
      <c r="G60" s="236">
        <f>IF($B$59+$C$59+$D$59+$E$59+$F$59+$G$59&lt;=1,($B$59*G58)+($C$59*F58)+($D$59*E58)+($E$59*D58)+($F$59*C58)+($G$59*B58))</f>
        <v>0</v>
      </c>
      <c r="H60" s="236">
        <f>IF($B$59+$C$59+$D$59+$E$59+$F$59+$G$59+$H$59&lt;=1,($B$59*H58)+($C$59*G58)+($D$59*F58)+($E$59*E58)+($F$59*D58)+($G$59*C58)+($H$59*B58))</f>
        <v>0</v>
      </c>
      <c r="I60" s="236">
        <f>IF($B$59+$C$59+$D$59+$E$59+$F$59+$G$59+$H$59+$I$59&lt;=1,($B$59*I58)+($C$59*H58)+($D$59*G58)+($E$59*F58)+($F$59*E58)+($G$59*D58)+($H$59*C58)+($I$59*B58))</f>
        <v>0</v>
      </c>
      <c r="J60" s="236">
        <f>IF($B$59+$C$59+$D$59+$E$59+$F$59+$G$59+$H$59+$I$59+$J$59&lt;=1,($B$59*J58)+($C$59*I58)+($D$59*H58)+($E$59*G58)+($F$59*F58)+($G$59*E58)+($H$59*D58)+($I$59*C58)+($J$59*B58))</f>
        <v>0</v>
      </c>
      <c r="K60" s="236">
        <f>IF($B$59+$C$59+$D$59+$E$59+$F$59+$G$59+$H$59+$I$59+$J$59+$K$59&lt;=1,($B$59*K58)+($C$59*J58)+($D$59*I58)+($E$59*H58)+($F$59*G58)+($G$59*F58)+($H$59*E58)+($I$59*D58)+($J$59*C58)+($K$59*B58))</f>
        <v>0</v>
      </c>
      <c r="L60" s="236">
        <f>IF($B$59+$C$59+$D$59+$E$59+$F$59+$G$59+$H$59+$I$59+$J$59+$K$59+$L$59&lt;=1,($B$59*L58)+($C$59*K58)+($D$59*J58)+($E$59*I58)+($F$59*H58)+($G$59*G58)+($H$59*F58)+($I$59*E58)+($J$59*D58)+($K$59*C58)+($L$59*B58))</f>
        <v>0</v>
      </c>
      <c r="M60" s="236">
        <f>IF($B$59+$C$59+$D$59+$E$59+$F$59+$G$59+$H$59+$I$59+$J$59+$K$59+$L$59+$M$59&lt;=1,($B$59*M58)+($C$59*L58)+($D$59*K58)+($E$59*J58)+($F$59*I58)+($G$59*H58)+($H$59*G58)+($I$59*F58)+($J$59*E58)+($K$59*D58)+($L$59*C58)+($M$59*B58))</f>
        <v>0</v>
      </c>
    </row>
    <row r="61" spans="1:14" ht="12.75" hidden="1">
      <c r="A61" s="278" t="s">
        <v>133</v>
      </c>
      <c r="B61" s="236">
        <v>0</v>
      </c>
      <c r="C61" s="236">
        <v>0</v>
      </c>
      <c r="D61" s="236">
        <v>0</v>
      </c>
      <c r="E61" s="236">
        <v>0</v>
      </c>
      <c r="F61" s="236">
        <v>0</v>
      </c>
      <c r="G61" s="236">
        <v>0</v>
      </c>
      <c r="H61" s="236">
        <v>0</v>
      </c>
      <c r="I61" s="236">
        <v>0</v>
      </c>
      <c r="J61" s="236">
        <v>0</v>
      </c>
      <c r="K61" s="236">
        <v>0</v>
      </c>
      <c r="L61" s="236">
        <v>0</v>
      </c>
      <c r="M61" s="236">
        <v>0</v>
      </c>
      <c r="N61" s="236">
        <f>SUM(B61:M61)</f>
        <v>0</v>
      </c>
    </row>
    <row r="62" spans="1:14" ht="12.75" hidden="1">
      <c r="A62" s="278" t="s">
        <v>132</v>
      </c>
      <c r="B62" s="236">
        <f>IF($B$59&lt;=1,$B$59*B61,)</f>
        <v>0</v>
      </c>
      <c r="C62" s="236">
        <f>IF($B$59+$C$59&lt;=1,($B$59*C61)+($C$59*B61),IF($B$59&gt;1,0,$B$59*C61))</f>
        <v>0</v>
      </c>
      <c r="D62" s="236">
        <f>IF($B$59+$C$59+$D$59&lt;=1,($B$59*D61)+($C$59*C61)+($D$59*B61))</f>
        <v>0</v>
      </c>
      <c r="E62" s="236">
        <f>IF($B$59+$C$59+$D$59+$E$59&lt;=1,($B$59*E61)+($C$59*D61)+($D$59*C61)+($E$59*B61))</f>
        <v>0</v>
      </c>
      <c r="F62" s="236">
        <f>IF($B$59+$C$59+$D$59+$E$59+$F$59&lt;=1,($B$59*F61)+($C$59*E61)+($D$59*D61)+($E$59*C61)+($F$59*B61))</f>
        <v>0</v>
      </c>
      <c r="G62" s="236">
        <f>IF($B$59+$C$59+$D$59+$E$59+$F$59+$G$59&lt;=1,($B$59*G61)+($C$59*F61)+($D$59*E61)+($E$59*D61)+($F$59*C61)+($G$59*B61))</f>
        <v>0</v>
      </c>
      <c r="H62" s="236">
        <f>IF($B$59+$C$59+$D$59+$E$59+$F$59+$G$59+$H$59&lt;=1,($B$59*H61)+($C$59*G61)+($D$59*F61)+($E$59*E61)+($F$59*D61)+($G$59*C61)+($H$59*B61))</f>
        <v>0</v>
      </c>
      <c r="I62" s="236">
        <f>IF($B$59+$C$59+$D$59+$E$59+$F$59+$G$59+$H$59+$I$59&lt;=1,($B$59*I61)+($C$59*H61)+($D$59*G61)+($E$59*F61)+($F$59*E61)+($G$59*D61)+($H$59*C61)+($I$59*B61))</f>
        <v>0</v>
      </c>
      <c r="J62" s="236">
        <f>IF($B$59+$C$59+$D$59+$E$59+$F$59+$G$59+$H$59+$I$59+$J$59&lt;=1,($B$59*J60)+($C$59*I60)+($D$59*H60)+($E$59*G60)+($F$59*F60)+($G$59*E60)+($H$59*D60)+($I$59*C60)+($J$59*B60))</f>
        <v>0</v>
      </c>
      <c r="K62" s="236">
        <f>IF($B$59+$C$59+$D$59+$E$59+$F$59+$G$59+$H$59+$I$59+$J$59+$K$59&lt;=1,($B$59*K60)+($C$59*J60)+($D$59*I60)+($E$59*H60)+($F$59*G60)+($G$59*F60)+($H$59*E60)+($I$59*D60)+($J$59*C60)+($K$59*B60))</f>
        <v>0</v>
      </c>
      <c r="L62" s="236">
        <f>IF($B$59+$C$59+$D$59+$E$59+$F$59+$G$59+$H$59+$I$59+$J$59+$K$59+$L$59&lt;=1,($B$59*L60)+($C$59*K60)+($D$59*J60)+($E$59*I60)+($F$59*H60)+($G$59*G60)+($H$59*F60)+($I$59*E60)+($J$59*D60)+($K$59*C60)+($L$59*B60))</f>
        <v>0</v>
      </c>
      <c r="M62" s="236">
        <f>IF($B$59+$C$59+$D$59+$E$59+$F$59+$G$59+$H$59+$I$59+$J$59+$K$59+$L$59+$M$59&lt;=1,($B$59*M60)+($C$59*L60)+($D$59*K60)+($E$59*J60)+($F$59*I60)+($G$59*H60)+($H$59*G60)+($I$59*F60)+($J$59*E60)+($K$59*D60)+($L$59*C60)+($M$59*B60))</f>
        <v>0</v>
      </c>
      <c r="N62" s="236">
        <f>SUM(B62:M62)</f>
        <v>0</v>
      </c>
    </row>
    <row r="63" spans="1:14" ht="12.75" hidden="1">
      <c r="A63" s="278" t="s">
        <v>134</v>
      </c>
      <c r="B63" s="236">
        <v>0</v>
      </c>
      <c r="C63" s="236">
        <v>0</v>
      </c>
      <c r="D63" s="236">
        <v>0</v>
      </c>
      <c r="E63" s="236">
        <v>0</v>
      </c>
      <c r="F63" s="236">
        <v>0</v>
      </c>
      <c r="G63" s="236">
        <v>0</v>
      </c>
      <c r="H63" s="236">
        <v>0</v>
      </c>
      <c r="I63" s="236">
        <v>0</v>
      </c>
      <c r="J63" s="236">
        <v>0</v>
      </c>
      <c r="K63" s="236">
        <v>0</v>
      </c>
      <c r="L63" s="236">
        <v>0</v>
      </c>
      <c r="M63" s="236">
        <v>0</v>
      </c>
      <c r="N63" s="236">
        <f>SUM(B63:M63)</f>
        <v>0</v>
      </c>
    </row>
    <row r="64" spans="1:14" ht="12.75" hidden="1">
      <c r="A64" s="278" t="s">
        <v>135</v>
      </c>
      <c r="B64" s="236">
        <f>IF($B$59&lt;=1,$B$59*B63,)</f>
        <v>0</v>
      </c>
      <c r="C64" s="236">
        <f>IF($B$59+$C$59&lt;=1,($B$59*C63)+($C$59*B63),IF($B$59&gt;1,0,$B$59*C63))</f>
        <v>0</v>
      </c>
      <c r="D64" s="236">
        <f>IF($B$59+$C$59+$D$59&lt;=1,($B$59*D63)+($C$59*C63)+($D$59*B63))</f>
        <v>0</v>
      </c>
      <c r="E64" s="236">
        <f>IF($B$59+$C$59+$D$59+$E$59&lt;=1,($B$59*E63)+($C$59*D63)+($D$59*C63)+($E$59*B63))</f>
        <v>0</v>
      </c>
      <c r="F64" s="236">
        <f>IF($B$59+$C$59+$D$59+$E$59+$F$59&lt;=1,($B$59*F63)+($C$59*E63)+($D$59*D63)+($E$59*C63)+($F$59*B63))</f>
        <v>0</v>
      </c>
      <c r="G64" s="236">
        <f>IF($B$59+$C$59+$D$59+$E$59+$F$59+$G$59&lt;=1,($B$59*G63)+($C$59*F63)+($D$59*E63)+($E$59*D63)+($F$59*C63)+($G$59*B63))</f>
        <v>0</v>
      </c>
      <c r="H64" s="236">
        <f>IF($B$59+$C$59+$D$59+$E$59+$F$59+$G$59+$H$59&lt;=1,($B$59*H63)+($C$59*G63)+($D$59*F63)+($E$59*E63)+($F$59*D63)+($G$59*C63)+($H$59*B63))</f>
        <v>0</v>
      </c>
      <c r="I64" s="236">
        <f>IF($B$59+$C$59+$D$59+$E$59+$F$59+$G$59+$H$59+$I$59&lt;=1,($B$59*I63)+($C$59*H63)+($D$59*G63)+($E$59*F63)+($F$59*E63)+($G$59*D63)+($H$59*C63)+($I$59*B63))</f>
        <v>0</v>
      </c>
      <c r="J64" s="236">
        <f>IF($B$59+$C$59+$D$59+$E$59+$F$59+$G$59+$H$59+$I$59+$J$59&lt;=1,($B$59*J62)+($C$59*I62)+($D$59*H62)+($E$59*G62)+($F$59*F62)+($G$59*E62)+($H$59*D62)+($I$59*C62)+($J$59*B62))</f>
        <v>0</v>
      </c>
      <c r="K64" s="236">
        <f>IF($B$59+$C$59+$D$59+$E$59+$F$59+$G$59+$H$59+$I$59+$J$59+$K$59&lt;=1,($B$59*K62)+($C$59*J62)+($D$59*I62)+($E$59*H62)+($F$59*G62)+($G$59*F62)+($H$59*E62)+($I$59*D62)+($J$59*C62)+($K$59*B62))</f>
        <v>0</v>
      </c>
      <c r="L64" s="236">
        <f>IF($B$59+$C$59+$D$59+$E$59+$F$59+$G$59+$H$59+$I$59+$J$59+$K$59+$L$59&lt;=1,($B$59*L62)+($C$59*K62)+($D$59*J62)+($E$59*I62)+($F$59*H62)+($G$59*G62)+($H$59*F62)+($I$59*E62)+($J$59*D62)+($K$59*C62)+($L$59*B62))</f>
        <v>0</v>
      </c>
      <c r="M64" s="236">
        <f>IF($B$59+$C$59+$D$59+$E$59+$F$59+$G$59+$H$59+$I$59+$J$59+$K$59+$L$59+$M$59&lt;=1,($B$59*M62)+($C$59*L62)+($D$59*K62)+($E$59*J62)+($F$59*I62)+($G$59*H62)+($H$59*G62)+($I$59*F62)+($J$59*E62)+($K$59*D62)+($L$59*C62)+($M$59*B62))</f>
        <v>0</v>
      </c>
      <c r="N64" s="236">
        <f>SUM(B64:M64)</f>
        <v>0</v>
      </c>
    </row>
    <row r="65" ht="12.75" hidden="1"/>
  </sheetData>
  <sheetProtection/>
  <mergeCells count="5">
    <mergeCell ref="B3:C3"/>
    <mergeCell ref="A1:O1"/>
    <mergeCell ref="D2:O2"/>
    <mergeCell ref="D3:N3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9"/>
  <sheetViews>
    <sheetView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24.421875" style="0" customWidth="1"/>
    <col min="2" max="2" width="5.28125" style="0" customWidth="1"/>
    <col min="3" max="3" width="12.7109375" style="236" customWidth="1"/>
    <col min="4" max="4" width="3.7109375" style="0" customWidth="1"/>
    <col min="5" max="5" width="9.7109375" style="0" customWidth="1"/>
    <col min="6" max="6" width="4.8515625" style="0" customWidth="1"/>
    <col min="7" max="7" width="13.00390625" style="236" customWidth="1"/>
    <col min="8" max="8" width="3.421875" style="0" customWidth="1"/>
    <col min="9" max="9" width="9.57421875" style="0" customWidth="1"/>
    <col min="10" max="10" width="4.57421875" style="0" customWidth="1"/>
    <col min="11" max="11" width="12.7109375" style="0" customWidth="1"/>
    <col min="12" max="12" width="3.7109375" style="0" customWidth="1"/>
    <col min="13" max="13" width="10.140625" style="0" customWidth="1"/>
  </cols>
  <sheetData>
    <row r="1" spans="1:13" ht="18">
      <c r="A1" s="373" t="s">
        <v>30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8">
      <c r="A2" s="374" t="str">
        <f>' Cash Flow Yr 1'!B2</f>
        <v> Company Name:</v>
      </c>
      <c r="B2" s="374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7" ht="12.75" customHeight="1">
      <c r="A3" s="4"/>
      <c r="B3" s="4"/>
      <c r="C3" s="309"/>
      <c r="D3" s="4"/>
      <c r="E3" s="4"/>
      <c r="F3" s="4"/>
      <c r="G3" s="309"/>
    </row>
    <row r="4" spans="3:13" ht="12.75">
      <c r="C4" s="372" t="s">
        <v>258</v>
      </c>
      <c r="D4" s="372"/>
      <c r="E4" s="372"/>
      <c r="G4" s="372" t="s">
        <v>256</v>
      </c>
      <c r="H4" s="372"/>
      <c r="I4" s="372"/>
      <c r="K4" s="372" t="s">
        <v>257</v>
      </c>
      <c r="L4" s="372"/>
      <c r="M4" s="372"/>
    </row>
    <row r="5" spans="1:13" ht="15.75">
      <c r="A5" s="7" t="s">
        <v>31</v>
      </c>
      <c r="E5" t="s">
        <v>41</v>
      </c>
      <c r="I5" t="s">
        <v>41</v>
      </c>
      <c r="M5" t="s">
        <v>41</v>
      </c>
    </row>
    <row r="6" spans="1:13" ht="12.75">
      <c r="A6" t="s">
        <v>99</v>
      </c>
      <c r="C6" s="310">
        <f>' Cash Flow Yr 1'!O8+' Cash Flow Yr 1'!O9</f>
        <v>0</v>
      </c>
      <c r="E6" s="15">
        <v>1</v>
      </c>
      <c r="G6" s="310">
        <f>'CashFlow Yr 2&amp;3'!O8+'CashFlow Yr 2&amp;3'!O9</f>
        <v>0</v>
      </c>
      <c r="I6" s="15">
        <v>1</v>
      </c>
      <c r="K6" s="11">
        <f>'CashFlow Yr 2&amp;3'!Q8+'CashFlow Yr 2&amp;3'!Q9</f>
        <v>0</v>
      </c>
      <c r="M6" s="15">
        <v>1</v>
      </c>
    </row>
    <row r="7" spans="1:13" ht="12.75">
      <c r="A7" t="s">
        <v>100</v>
      </c>
      <c r="C7" s="310">
        <f>' Cash Flow Yr 1'!O14</f>
        <v>0</v>
      </c>
      <c r="E7" s="15" t="e">
        <f>C7/$C$6</f>
        <v>#DIV/0!</v>
      </c>
      <c r="G7" s="310">
        <f>'CashFlow Yr 2&amp;3'!O14</f>
        <v>0</v>
      </c>
      <c r="I7" s="15" t="e">
        <f>G7/$G$6</f>
        <v>#DIV/0!</v>
      </c>
      <c r="K7" s="11">
        <f>'CashFlow Yr 2&amp;3'!Q14</f>
        <v>0</v>
      </c>
      <c r="M7" s="15" t="e">
        <f>K7/$K$6</f>
        <v>#DIV/0!</v>
      </c>
    </row>
    <row r="8" spans="1:13" ht="15.75" thickBot="1">
      <c r="A8" s="10" t="s">
        <v>32</v>
      </c>
      <c r="C8" s="311">
        <f>C6-C7</f>
        <v>0</v>
      </c>
      <c r="E8" s="15" t="e">
        <f>C8/$C$6</f>
        <v>#DIV/0!</v>
      </c>
      <c r="G8" s="311">
        <f>G6-G7</f>
        <v>0</v>
      </c>
      <c r="I8" s="15" t="e">
        <f>G8/$G$6</f>
        <v>#DIV/0!</v>
      </c>
      <c r="K8" s="42">
        <f>K6-K7</f>
        <v>0</v>
      </c>
      <c r="M8" s="15" t="e">
        <f>K8/$K$6</f>
        <v>#DIV/0!</v>
      </c>
    </row>
    <row r="9" spans="1:13" ht="13.5" thickTop="1">
      <c r="A9" s="370" t="s">
        <v>259</v>
      </c>
      <c r="B9" s="371"/>
      <c r="E9" s="1"/>
      <c r="G9" s="332" t="e">
        <f>SUM(G6-C6)/C6</f>
        <v>#DIV/0!</v>
      </c>
      <c r="I9" s="1"/>
      <c r="K9" s="332" t="e">
        <f>SUM(K6-G6)/G6</f>
        <v>#DIV/0!</v>
      </c>
      <c r="M9" s="15"/>
    </row>
    <row r="10" spans="1:13" ht="15.75">
      <c r="A10" s="7" t="s">
        <v>33</v>
      </c>
      <c r="E10" s="1"/>
      <c r="I10" s="1"/>
      <c r="M10" s="15"/>
    </row>
    <row r="11" spans="1:13" ht="12.75">
      <c r="A11" t="s">
        <v>34</v>
      </c>
      <c r="C11" s="310">
        <f>' Cash Flow Yr 1'!O15</f>
        <v>0</v>
      </c>
      <c r="E11" s="15" t="e">
        <f>C11/$C$6</f>
        <v>#DIV/0!</v>
      </c>
      <c r="G11" s="310">
        <f>'CashFlow Yr 2&amp;3'!O15</f>
        <v>0</v>
      </c>
      <c r="I11" s="15" t="e">
        <f>G11/$G$6</f>
        <v>#DIV/0!</v>
      </c>
      <c r="K11" s="11">
        <f>'CashFlow Yr 2&amp;3'!Q15</f>
        <v>0</v>
      </c>
      <c r="M11" s="15" t="e">
        <f aca="true" t="shared" si="0" ref="M11:M30">K11/$K$6</f>
        <v>#DIV/0!</v>
      </c>
    </row>
    <row r="12" spans="1:13" ht="12.75">
      <c r="A12" t="s">
        <v>13</v>
      </c>
      <c r="C12" s="310">
        <f>' Cash Flow Yr 1'!O16</f>
        <v>0</v>
      </c>
      <c r="E12" s="15" t="e">
        <f aca="true" t="shared" si="1" ref="E12:E30">C12/$C$6</f>
        <v>#DIV/0!</v>
      </c>
      <c r="G12" s="310">
        <f>'CashFlow Yr 2&amp;3'!O16</f>
        <v>0</v>
      </c>
      <c r="I12" s="15" t="e">
        <f aca="true" t="shared" si="2" ref="I12:I30">G12/$G$6</f>
        <v>#DIV/0!</v>
      </c>
      <c r="K12" s="11">
        <f>'CashFlow Yr 2&amp;3'!Q16</f>
        <v>0</v>
      </c>
      <c r="M12" s="15" t="e">
        <f t="shared" si="0"/>
        <v>#DIV/0!</v>
      </c>
    </row>
    <row r="13" spans="1:13" ht="12.75">
      <c r="A13" t="s">
        <v>35</v>
      </c>
      <c r="C13" s="310">
        <f>' Cash Flow Yr 1'!O17</f>
        <v>0</v>
      </c>
      <c r="E13" s="15" t="e">
        <f t="shared" si="1"/>
        <v>#DIV/0!</v>
      </c>
      <c r="G13" s="310">
        <f>'CashFlow Yr 2&amp;3'!O17</f>
        <v>0</v>
      </c>
      <c r="I13" s="15" t="e">
        <f t="shared" si="2"/>
        <v>#DIV/0!</v>
      </c>
      <c r="K13" s="11">
        <f>'CashFlow Yr 2&amp;3'!Q17</f>
        <v>0</v>
      </c>
      <c r="M13" s="15" t="e">
        <f t="shared" si="0"/>
        <v>#DIV/0!</v>
      </c>
    </row>
    <row r="14" spans="1:13" ht="12.75">
      <c r="A14" t="s">
        <v>15</v>
      </c>
      <c r="C14" s="310">
        <f>' Cash Flow Yr 1'!O18</f>
        <v>0</v>
      </c>
      <c r="E14" s="15" t="e">
        <f t="shared" si="1"/>
        <v>#DIV/0!</v>
      </c>
      <c r="G14" s="310">
        <f>'CashFlow Yr 2&amp;3'!O18</f>
        <v>0</v>
      </c>
      <c r="I14" s="15" t="e">
        <f t="shared" si="2"/>
        <v>#DIV/0!</v>
      </c>
      <c r="K14" s="11">
        <f>'CashFlow Yr 2&amp;3'!Q18</f>
        <v>0</v>
      </c>
      <c r="M14" s="15" t="e">
        <f t="shared" si="0"/>
        <v>#DIV/0!</v>
      </c>
    </row>
    <row r="15" spans="1:13" ht="12.75">
      <c r="A15" t="s">
        <v>16</v>
      </c>
      <c r="C15" s="310">
        <f>' Cash Flow Yr 1'!O19</f>
        <v>0</v>
      </c>
      <c r="E15" s="15" t="e">
        <f t="shared" si="1"/>
        <v>#DIV/0!</v>
      </c>
      <c r="G15" s="310">
        <f>'CashFlow Yr 2&amp;3'!O19</f>
        <v>0</v>
      </c>
      <c r="I15" s="15" t="e">
        <f t="shared" si="2"/>
        <v>#DIV/0!</v>
      </c>
      <c r="K15" s="11">
        <f>'CashFlow Yr 2&amp;3'!Q19</f>
        <v>0</v>
      </c>
      <c r="M15" s="15" t="e">
        <f t="shared" si="0"/>
        <v>#DIV/0!</v>
      </c>
    </row>
    <row r="16" spans="1:13" ht="12.75">
      <c r="A16" t="s">
        <v>17</v>
      </c>
      <c r="C16" s="310">
        <f>' Cash Flow Yr 1'!O20</f>
        <v>0</v>
      </c>
      <c r="E16" s="15" t="e">
        <f t="shared" si="1"/>
        <v>#DIV/0!</v>
      </c>
      <c r="G16" s="310">
        <f>'CashFlow Yr 2&amp;3'!O20</f>
        <v>0</v>
      </c>
      <c r="I16" s="15" t="e">
        <f t="shared" si="2"/>
        <v>#DIV/0!</v>
      </c>
      <c r="K16" s="11">
        <f>'CashFlow Yr 2&amp;3'!Q20</f>
        <v>0</v>
      </c>
      <c r="M16" s="15" t="e">
        <f t="shared" si="0"/>
        <v>#DIV/0!</v>
      </c>
    </row>
    <row r="17" spans="1:13" ht="12.75">
      <c r="A17" t="s">
        <v>18</v>
      </c>
      <c r="C17" s="310">
        <f>' Cash Flow Yr 1'!O21</f>
        <v>0</v>
      </c>
      <c r="E17" s="15" t="e">
        <f t="shared" si="1"/>
        <v>#DIV/0!</v>
      </c>
      <c r="G17" s="310">
        <f>'CashFlow Yr 2&amp;3'!O21</f>
        <v>0</v>
      </c>
      <c r="I17" s="15" t="e">
        <f t="shared" si="2"/>
        <v>#DIV/0!</v>
      </c>
      <c r="K17" s="11">
        <f>'CashFlow Yr 2&amp;3'!Q21</f>
        <v>0</v>
      </c>
      <c r="M17" s="15" t="e">
        <f t="shared" si="0"/>
        <v>#DIV/0!</v>
      </c>
    </row>
    <row r="18" spans="1:13" ht="12.75">
      <c r="A18" t="s">
        <v>174</v>
      </c>
      <c r="C18" s="310">
        <f>' Cash Flow Yr 1'!O22</f>
        <v>0</v>
      </c>
      <c r="E18" s="15" t="e">
        <f t="shared" si="1"/>
        <v>#DIV/0!</v>
      </c>
      <c r="G18" s="310">
        <f>'CashFlow Yr 2&amp;3'!O22</f>
        <v>0</v>
      </c>
      <c r="I18" s="15" t="e">
        <f t="shared" si="2"/>
        <v>#DIV/0!</v>
      </c>
      <c r="K18" s="11">
        <f>'CashFlow Yr 2&amp;3'!Q22</f>
        <v>0</v>
      </c>
      <c r="M18" s="15" t="e">
        <f t="shared" si="0"/>
        <v>#DIV/0!</v>
      </c>
    </row>
    <row r="19" spans="1:13" ht="12.75">
      <c r="A19" t="s">
        <v>19</v>
      </c>
      <c r="C19" s="310">
        <f>' Cash Flow Yr 1'!O23</f>
        <v>0</v>
      </c>
      <c r="E19" s="15" t="e">
        <f>C19/$C$6</f>
        <v>#DIV/0!</v>
      </c>
      <c r="G19" s="310">
        <f>'CashFlow Yr 2&amp;3'!O23</f>
        <v>0</v>
      </c>
      <c r="I19" s="15" t="e">
        <f>G19/$G$6</f>
        <v>#DIV/0!</v>
      </c>
      <c r="K19" s="11">
        <f>'CashFlow Yr 2&amp;3'!Q23</f>
        <v>0</v>
      </c>
      <c r="M19" s="15" t="e">
        <f>K19/$K$6</f>
        <v>#DIV/0!</v>
      </c>
    </row>
    <row r="20" spans="1:13" ht="12.75">
      <c r="A20" t="s">
        <v>20</v>
      </c>
      <c r="C20" s="310">
        <f>' Cash Flow Yr 1'!O24</f>
        <v>0</v>
      </c>
      <c r="E20" s="15" t="e">
        <f t="shared" si="1"/>
        <v>#DIV/0!</v>
      </c>
      <c r="G20" s="310">
        <f>'CashFlow Yr 2&amp;3'!O23</f>
        <v>0</v>
      </c>
      <c r="I20" s="15" t="e">
        <f t="shared" si="2"/>
        <v>#DIV/0!</v>
      </c>
      <c r="K20" s="11">
        <f>'CashFlow Yr 2&amp;3'!Q23</f>
        <v>0</v>
      </c>
      <c r="M20" s="15" t="e">
        <f t="shared" si="0"/>
        <v>#DIV/0!</v>
      </c>
    </row>
    <row r="21" spans="1:13" ht="12.75">
      <c r="A21" t="s">
        <v>21</v>
      </c>
      <c r="C21" s="310">
        <f>' Cash Flow Yr 1'!O25</f>
        <v>0</v>
      </c>
      <c r="E21" s="15" t="e">
        <f t="shared" si="1"/>
        <v>#DIV/0!</v>
      </c>
      <c r="G21" s="310">
        <f>'CashFlow Yr 2&amp;3'!O24</f>
        <v>0</v>
      </c>
      <c r="I21" s="15" t="e">
        <f t="shared" si="2"/>
        <v>#DIV/0!</v>
      </c>
      <c r="K21" s="11">
        <f>'CashFlow Yr 2&amp;3'!Q24</f>
        <v>0</v>
      </c>
      <c r="M21" s="15" t="e">
        <f t="shared" si="0"/>
        <v>#DIV/0!</v>
      </c>
    </row>
    <row r="22" spans="1:13" ht="12.75">
      <c r="A22" t="s">
        <v>204</v>
      </c>
      <c r="C22" s="310">
        <f>' Cash Flow Yr 1'!O26</f>
        <v>0</v>
      </c>
      <c r="E22" s="15" t="e">
        <f t="shared" si="1"/>
        <v>#DIV/0!</v>
      </c>
      <c r="G22" s="310">
        <f>'CashFlow Yr 2&amp;3'!O26</f>
        <v>0</v>
      </c>
      <c r="I22" s="15" t="e">
        <f t="shared" si="2"/>
        <v>#DIV/0!</v>
      </c>
      <c r="K22" s="11">
        <f>'CashFlow Yr 2&amp;3'!Q26</f>
        <v>0</v>
      </c>
      <c r="M22" s="15" t="e">
        <f t="shared" si="0"/>
        <v>#DIV/0!</v>
      </c>
    </row>
    <row r="23" spans="1:13" ht="12.75">
      <c r="A23" t="s">
        <v>205</v>
      </c>
      <c r="C23" s="310">
        <f>' Cash Flow Yr 1'!O27</f>
        <v>0</v>
      </c>
      <c r="E23" s="15" t="e">
        <f t="shared" si="1"/>
        <v>#DIV/0!</v>
      </c>
      <c r="G23" s="310">
        <f>'CashFlow Yr 2&amp;3'!O27</f>
        <v>0</v>
      </c>
      <c r="I23" s="15" t="e">
        <f t="shared" si="2"/>
        <v>#DIV/0!</v>
      </c>
      <c r="K23" s="11">
        <f>'CashFlow Yr 2&amp;3'!Q27</f>
        <v>0</v>
      </c>
      <c r="M23" s="15" t="e">
        <f t="shared" si="0"/>
        <v>#DIV/0!</v>
      </c>
    </row>
    <row r="24" spans="1:13" ht="12.75">
      <c r="A24" t="s">
        <v>210</v>
      </c>
      <c r="C24" s="310">
        <f>' Cash Flow Yr 1'!O28</f>
        <v>0</v>
      </c>
      <c r="E24" s="15" t="e">
        <f t="shared" si="1"/>
        <v>#DIV/0!</v>
      </c>
      <c r="G24" s="310">
        <f>'CashFlow Yr 2&amp;3'!O28</f>
        <v>0</v>
      </c>
      <c r="I24" s="15" t="e">
        <f t="shared" si="2"/>
        <v>#DIV/0!</v>
      </c>
      <c r="K24" s="11">
        <f>'CashFlow Yr 2&amp;3'!Q28</f>
        <v>0</v>
      </c>
      <c r="M24" s="15" t="e">
        <f t="shared" si="0"/>
        <v>#DIV/0!</v>
      </c>
    </row>
    <row r="25" spans="1:13" ht="12.75">
      <c r="A25" t="s">
        <v>36</v>
      </c>
      <c r="C25" s="310">
        <f>' Cash Flow Yr 1'!O29</f>
        <v>0</v>
      </c>
      <c r="E25" s="15" t="e">
        <f t="shared" si="1"/>
        <v>#DIV/0!</v>
      </c>
      <c r="G25" s="310">
        <f>'CashFlow Yr 2&amp;3'!O29</f>
        <v>0</v>
      </c>
      <c r="I25" s="15" t="e">
        <f t="shared" si="2"/>
        <v>#DIV/0!</v>
      </c>
      <c r="K25" s="11">
        <f>'CashFlow Yr 2&amp;3'!Q29</f>
        <v>0</v>
      </c>
      <c r="M25" s="15" t="e">
        <f t="shared" si="0"/>
        <v>#DIV/0!</v>
      </c>
    </row>
    <row r="26" spans="1:13" ht="12.75">
      <c r="A26" t="s">
        <v>59</v>
      </c>
      <c r="C26" s="310">
        <v>0</v>
      </c>
      <c r="E26" s="15" t="e">
        <f t="shared" si="1"/>
        <v>#DIV/0!</v>
      </c>
      <c r="G26" s="310">
        <v>0</v>
      </c>
      <c r="I26" s="15" t="e">
        <f t="shared" si="2"/>
        <v>#DIV/0!</v>
      </c>
      <c r="K26" s="11">
        <v>0</v>
      </c>
      <c r="M26" s="15" t="e">
        <f t="shared" si="0"/>
        <v>#DIV/0!</v>
      </c>
    </row>
    <row r="27" spans="1:13" ht="15.75" thickBot="1">
      <c r="A27" s="10" t="s">
        <v>37</v>
      </c>
      <c r="C27" s="312">
        <f>SUM(C11:C26)</f>
        <v>0</v>
      </c>
      <c r="E27" s="15" t="e">
        <f t="shared" si="1"/>
        <v>#DIV/0!</v>
      </c>
      <c r="G27" s="312">
        <f>SUM(G11:G26)</f>
        <v>0</v>
      </c>
      <c r="I27" s="15" t="e">
        <f t="shared" si="2"/>
        <v>#DIV/0!</v>
      </c>
      <c r="K27" s="12">
        <f>SUM(K11:K26)</f>
        <v>0</v>
      </c>
      <c r="M27" s="15" t="e">
        <f t="shared" si="0"/>
        <v>#DIV/0!</v>
      </c>
    </row>
    <row r="28" spans="1:13" ht="16.5" thickTop="1">
      <c r="A28" s="8" t="s">
        <v>38</v>
      </c>
      <c r="C28" s="313">
        <f>C8-C27</f>
        <v>0</v>
      </c>
      <c r="E28" s="15" t="e">
        <f t="shared" si="1"/>
        <v>#DIV/0!</v>
      </c>
      <c r="G28" s="313">
        <f>G8-G27</f>
        <v>0</v>
      </c>
      <c r="I28" s="15" t="e">
        <f t="shared" si="2"/>
        <v>#DIV/0!</v>
      </c>
      <c r="K28" s="13">
        <f>K8-K27</f>
        <v>0</v>
      </c>
      <c r="M28" s="15" t="e">
        <f t="shared" si="0"/>
        <v>#DIV/0!</v>
      </c>
    </row>
    <row r="29" spans="1:13" ht="14.25">
      <c r="A29" s="9" t="s">
        <v>39</v>
      </c>
      <c r="C29" s="314">
        <v>0</v>
      </c>
      <c r="E29" s="15" t="e">
        <f t="shared" si="1"/>
        <v>#DIV/0!</v>
      </c>
      <c r="G29" s="314">
        <v>0</v>
      </c>
      <c r="I29" s="15" t="e">
        <f t="shared" si="2"/>
        <v>#DIV/0!</v>
      </c>
      <c r="K29" s="14">
        <v>0</v>
      </c>
      <c r="M29" s="15" t="e">
        <f t="shared" si="0"/>
        <v>#DIV/0!</v>
      </c>
    </row>
    <row r="30" spans="1:13" ht="16.5" thickBot="1">
      <c r="A30" s="8" t="s">
        <v>40</v>
      </c>
      <c r="C30" s="311">
        <f>C28-C29</f>
        <v>0</v>
      </c>
      <c r="E30" s="15" t="e">
        <f t="shared" si="1"/>
        <v>#DIV/0!</v>
      </c>
      <c r="G30" s="311">
        <f>G28-G29</f>
        <v>0</v>
      </c>
      <c r="I30" s="15" t="e">
        <f t="shared" si="2"/>
        <v>#DIV/0!</v>
      </c>
      <c r="K30" s="42">
        <f>K28-K29</f>
        <v>0</v>
      </c>
      <c r="M30" s="15" t="e">
        <f t="shared" si="0"/>
        <v>#DIV/0!</v>
      </c>
    </row>
    <row r="31" spans="1:13" ht="17.25" thickBot="1" thickTop="1">
      <c r="A31" s="8"/>
      <c r="C31" s="315"/>
      <c r="E31" s="15"/>
      <c r="G31" s="315"/>
      <c r="I31" s="15"/>
      <c r="K31" s="224"/>
      <c r="M31" s="15"/>
    </row>
    <row r="32" spans="1:13" ht="13.5" thickBot="1">
      <c r="A32" s="378" t="s">
        <v>264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80"/>
    </row>
    <row r="33" spans="1:11" ht="12.75">
      <c r="A33" s="381" t="s">
        <v>260</v>
      </c>
      <c r="B33" s="382"/>
      <c r="C33" s="316">
        <f>C28</f>
        <v>0</v>
      </c>
      <c r="G33" s="316">
        <f>G28</f>
        <v>0</v>
      </c>
      <c r="K33" s="225">
        <f>K28</f>
        <v>0</v>
      </c>
    </row>
    <row r="34" spans="1:11" ht="12.75">
      <c r="A34" s="383" t="s">
        <v>22</v>
      </c>
      <c r="B34" s="383"/>
      <c r="C34" s="317">
        <f>SUM(C22:C23)</f>
        <v>0</v>
      </c>
      <c r="G34" s="317">
        <f>SUM(G22:G23)</f>
        <v>0</v>
      </c>
      <c r="K34" s="226">
        <f>SUM(K22:K23)</f>
        <v>0</v>
      </c>
    </row>
    <row r="35" spans="1:11" ht="13.5" thickBot="1">
      <c r="A35" s="384" t="s">
        <v>59</v>
      </c>
      <c r="B35" s="384"/>
      <c r="C35" s="318">
        <f>C26</f>
        <v>0</v>
      </c>
      <c r="G35" s="318">
        <f>G26</f>
        <v>0</v>
      </c>
      <c r="K35" s="228">
        <f>K26</f>
        <v>0</v>
      </c>
    </row>
    <row r="36" spans="1:11" ht="12.75">
      <c r="A36" s="385" t="s">
        <v>261</v>
      </c>
      <c r="B36" s="386"/>
      <c r="C36" s="319">
        <f>SUM(C33:C35)</f>
        <v>0</v>
      </c>
      <c r="G36" s="319">
        <f>SUM(G33:G35)</f>
        <v>0</v>
      </c>
      <c r="K36" s="227">
        <f>SUM(K33:K35)</f>
        <v>0</v>
      </c>
    </row>
    <row r="37" spans="1:11" ht="13.5" thickBot="1">
      <c r="A37" s="384" t="s">
        <v>237</v>
      </c>
      <c r="B37" s="384"/>
      <c r="C37" s="318">
        <f>SUM(' Cash Flow Yr 1'!O26:O27)+SUM(' Cash Flow Yr 1'!O31:O32)</f>
        <v>0</v>
      </c>
      <c r="G37" s="318">
        <f>SUM('CashFlow Yr 2&amp;3'!O26:O27)+SUM('CashFlow Yr 2&amp;3'!O31:O32)</f>
        <v>0</v>
      </c>
      <c r="K37" s="228">
        <f>SUM('CashFlow Yr 2&amp;3'!Q26:Q27)+SUM('CashFlow Yr 2&amp;3'!Q31:Q32)</f>
        <v>0</v>
      </c>
    </row>
    <row r="38" spans="1:11" ht="13.5" thickBot="1">
      <c r="A38" s="387" t="s">
        <v>262</v>
      </c>
      <c r="B38" s="388"/>
      <c r="C38" s="320">
        <f>C36-C37</f>
        <v>0</v>
      </c>
      <c r="G38" s="320">
        <f>G36-G37</f>
        <v>0</v>
      </c>
      <c r="K38" s="229">
        <f>K36-K37</f>
        <v>0</v>
      </c>
    </row>
    <row r="39" spans="1:12" ht="14.25" thickBot="1" thickTop="1">
      <c r="A39" s="376" t="s">
        <v>263</v>
      </c>
      <c r="B39" s="377"/>
      <c r="C39" s="321" t="e">
        <f>C36/C37</f>
        <v>#DIV/0!</v>
      </c>
      <c r="D39" s="231" t="s">
        <v>265</v>
      </c>
      <c r="E39" s="232"/>
      <c r="F39" s="232"/>
      <c r="G39" s="321" t="e">
        <f>G36/G37</f>
        <v>#DIV/0!</v>
      </c>
      <c r="H39" s="231" t="s">
        <v>265</v>
      </c>
      <c r="I39" s="232"/>
      <c r="J39" s="232"/>
      <c r="K39" s="230" t="e">
        <f>K36/K37</f>
        <v>#DIV/0!</v>
      </c>
      <c r="L39" s="222" t="s">
        <v>265</v>
      </c>
    </row>
  </sheetData>
  <sheetProtection/>
  <mergeCells count="15">
    <mergeCell ref="A39:B39"/>
    <mergeCell ref="A32:M32"/>
    <mergeCell ref="A33:B33"/>
    <mergeCell ref="A34:B34"/>
    <mergeCell ref="A35:B35"/>
    <mergeCell ref="A36:B36"/>
    <mergeCell ref="A37:B37"/>
    <mergeCell ref="A38:B38"/>
    <mergeCell ref="A9:B9"/>
    <mergeCell ref="K4:M4"/>
    <mergeCell ref="C4:E4"/>
    <mergeCell ref="G4:I4"/>
    <mergeCell ref="A1:M1"/>
    <mergeCell ref="A2:B2"/>
    <mergeCell ref="C2:M2"/>
  </mergeCells>
  <printOptions/>
  <pageMargins left="0.75" right="0.75" top="0.75" bottom="0.75" header="0.5" footer="0.5"/>
  <pageSetup horizontalDpi="180" verticalDpi="180" orientation="landscape" r:id="rId1"/>
  <ignoredErrors>
    <ignoredError sqref="C3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67"/>
  <sheetViews>
    <sheetView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7" sqref="F37"/>
    </sheetView>
  </sheetViews>
  <sheetFormatPr defaultColWidth="9.140625" defaultRowHeight="12.75"/>
  <cols>
    <col min="1" max="1" width="29.00390625" style="0" customWidth="1"/>
    <col min="2" max="2" width="13.57421875" style="0" customWidth="1"/>
    <col min="3" max="3" width="4.421875" style="0" customWidth="1"/>
    <col min="4" max="4" width="14.28125" style="0" customWidth="1"/>
    <col min="5" max="5" width="4.57421875" style="0" customWidth="1"/>
    <col min="6" max="6" width="13.28125" style="0" customWidth="1"/>
    <col min="7" max="7" width="4.00390625" style="0" customWidth="1"/>
    <col min="8" max="8" width="13.140625" style="0" customWidth="1"/>
    <col min="9" max="9" width="2.57421875" style="0" bestFit="1" customWidth="1"/>
  </cols>
  <sheetData>
    <row r="1" spans="1:9" ht="15.75">
      <c r="A1" s="389" t="s">
        <v>56</v>
      </c>
      <c r="B1" s="389"/>
      <c r="C1" s="389"/>
      <c r="D1" s="389"/>
      <c r="E1" s="389"/>
      <c r="F1" s="389"/>
      <c r="G1" s="389"/>
      <c r="H1" s="389"/>
      <c r="I1" s="389"/>
    </row>
    <row r="2" spans="1:9" ht="15.75">
      <c r="A2" s="8" t="str">
        <f>' Cash Flow Yr 1'!B2</f>
        <v> Company Name:</v>
      </c>
      <c r="B2" s="390"/>
      <c r="C2" s="390"/>
      <c r="D2" s="390"/>
      <c r="E2" s="390"/>
      <c r="F2" s="390"/>
      <c r="G2" s="390"/>
      <c r="H2" s="390"/>
      <c r="I2" s="390"/>
    </row>
    <row r="3" spans="1:7" ht="15.75">
      <c r="A3" s="389"/>
      <c r="B3" s="389"/>
      <c r="C3" s="389"/>
      <c r="D3" s="389"/>
      <c r="E3" s="389"/>
      <c r="F3" s="389"/>
      <c r="G3" s="389"/>
    </row>
    <row r="4" spans="1:7" ht="12.75" customHeight="1">
      <c r="A4" s="3"/>
      <c r="C4" s="3"/>
      <c r="D4" s="3"/>
      <c r="E4" s="3"/>
      <c r="F4" s="3"/>
      <c r="G4" s="3"/>
    </row>
    <row r="5" spans="2:8" ht="12.75">
      <c r="B5" s="2" t="s">
        <v>123</v>
      </c>
      <c r="C5" s="36"/>
      <c r="D5" s="2" t="s">
        <v>266</v>
      </c>
      <c r="E5" s="1"/>
      <c r="F5" s="2" t="s">
        <v>267</v>
      </c>
      <c r="H5" s="2" t="s">
        <v>268</v>
      </c>
    </row>
    <row r="6" ht="13.5" thickBot="1">
      <c r="A6" s="233" t="s">
        <v>42</v>
      </c>
    </row>
    <row r="7" spans="1:8" ht="12.75">
      <c r="A7" t="s">
        <v>94</v>
      </c>
      <c r="B7" s="310">
        <f>' Cash Flow Yr 1'!B38</f>
        <v>0</v>
      </c>
      <c r="C7" s="322"/>
      <c r="D7" s="310">
        <f>' Cash Flow Yr 1'!N38</f>
        <v>0</v>
      </c>
      <c r="E7" s="322"/>
      <c r="F7" s="310">
        <f>'CashFlow Yr 2&amp;3'!N38</f>
        <v>0</v>
      </c>
      <c r="G7" s="236"/>
      <c r="H7" s="310">
        <f>'CashFlow Yr 2&amp;3'!Q38</f>
        <v>0</v>
      </c>
    </row>
    <row r="8" spans="1:8" ht="12.75">
      <c r="A8" t="s">
        <v>43</v>
      </c>
      <c r="B8" s="310">
        <v>0</v>
      </c>
      <c r="C8" s="322"/>
      <c r="D8" s="310">
        <v>0</v>
      </c>
      <c r="E8" s="322"/>
      <c r="F8" s="310">
        <v>0</v>
      </c>
      <c r="G8" s="236"/>
      <c r="H8" s="310">
        <v>0</v>
      </c>
    </row>
    <row r="9" spans="1:8" ht="12.75">
      <c r="A9" t="s">
        <v>95</v>
      </c>
      <c r="B9" s="310">
        <f>'Sources-Uses'!B10</f>
        <v>0</v>
      </c>
      <c r="C9" s="322"/>
      <c r="D9" s="310">
        <v>0</v>
      </c>
      <c r="E9" s="322"/>
      <c r="F9" s="310">
        <v>0</v>
      </c>
      <c r="G9" s="236"/>
      <c r="H9" s="310">
        <v>0</v>
      </c>
    </row>
    <row r="10" spans="2:8" ht="13.5" thickBot="1">
      <c r="B10" s="323"/>
      <c r="C10" s="322"/>
      <c r="D10" s="323"/>
      <c r="E10" s="322"/>
      <c r="F10" s="324"/>
      <c r="G10" s="236"/>
      <c r="H10" s="324"/>
    </row>
    <row r="11" spans="1:8" ht="12.75">
      <c r="A11" s="5" t="s">
        <v>44</v>
      </c>
      <c r="B11" s="287">
        <f>SUM(B7:B9)</f>
        <v>0</v>
      </c>
      <c r="C11" s="325"/>
      <c r="D11" s="287">
        <f>SUM(D7:D9)</f>
        <v>0</v>
      </c>
      <c r="E11" s="325"/>
      <c r="F11" s="287">
        <f>SUM(F7:F9)</f>
        <v>0</v>
      </c>
      <c r="G11" s="285"/>
      <c r="H11" s="287">
        <f>SUM(H7:H9)</f>
        <v>0</v>
      </c>
    </row>
    <row r="12" spans="2:8" ht="12.75">
      <c r="B12" s="322"/>
      <c r="C12" s="322"/>
      <c r="D12" s="322"/>
      <c r="E12" s="322"/>
      <c r="F12" s="236"/>
      <c r="G12" s="236"/>
      <c r="H12" s="236"/>
    </row>
    <row r="13" spans="1:8" ht="13.5" thickBot="1">
      <c r="A13" s="233" t="s">
        <v>45</v>
      </c>
      <c r="B13" s="322"/>
      <c r="C13" s="322"/>
      <c r="D13" s="322"/>
      <c r="E13" s="322"/>
      <c r="F13" s="236"/>
      <c r="G13" s="236"/>
      <c r="H13" s="236"/>
    </row>
    <row r="14" spans="1:8" ht="12.75">
      <c r="A14" t="s">
        <v>96</v>
      </c>
      <c r="B14" s="310">
        <f>'Sources-Uses'!B9</f>
        <v>0</v>
      </c>
      <c r="C14" s="322"/>
      <c r="D14" s="310">
        <f>B14</f>
        <v>0</v>
      </c>
      <c r="E14" s="322"/>
      <c r="F14" s="310">
        <f>B14</f>
        <v>0</v>
      </c>
      <c r="G14" s="236"/>
      <c r="H14" s="310">
        <f>B14</f>
        <v>0</v>
      </c>
    </row>
    <row r="15" spans="1:8" ht="12.75">
      <c r="A15" t="s">
        <v>2</v>
      </c>
      <c r="B15" s="310">
        <f>'Sources-Uses'!B8</f>
        <v>0</v>
      </c>
      <c r="C15" s="322"/>
      <c r="D15" s="310">
        <f>B15</f>
        <v>0</v>
      </c>
      <c r="E15" s="322"/>
      <c r="F15" s="310">
        <f>B15</f>
        <v>0</v>
      </c>
      <c r="G15" s="236"/>
      <c r="H15" s="310">
        <f>B15</f>
        <v>0</v>
      </c>
    </row>
    <row r="16" spans="1:8" ht="12.75">
      <c r="A16" t="s">
        <v>3</v>
      </c>
      <c r="B16" s="310">
        <f>'Sources-Uses'!B14</f>
        <v>0</v>
      </c>
      <c r="C16" s="322"/>
      <c r="D16" s="310">
        <f>B16</f>
        <v>0</v>
      </c>
      <c r="E16" s="322"/>
      <c r="F16" s="310">
        <f>B16</f>
        <v>0</v>
      </c>
      <c r="G16" s="236"/>
      <c r="H16" s="310">
        <f>B16</f>
        <v>0</v>
      </c>
    </row>
    <row r="17" spans="1:8" ht="12.75">
      <c r="A17" t="s">
        <v>5</v>
      </c>
      <c r="B17" s="310">
        <f>'Sources-Uses'!B11</f>
        <v>0</v>
      </c>
      <c r="C17" s="322"/>
      <c r="D17" s="310">
        <f>B17</f>
        <v>0</v>
      </c>
      <c r="E17" s="322"/>
      <c r="F17" s="310">
        <f>B17</f>
        <v>0</v>
      </c>
      <c r="G17" s="236"/>
      <c r="H17" s="310">
        <f>B17</f>
        <v>0</v>
      </c>
    </row>
    <row r="18" spans="1:8" ht="12.75">
      <c r="A18" s="16" t="s">
        <v>46</v>
      </c>
      <c r="B18" s="310">
        <v>0</v>
      </c>
      <c r="C18" s="322"/>
      <c r="D18" s="310">
        <f>'Income Stmt'!C26</f>
        <v>0</v>
      </c>
      <c r="E18" s="322"/>
      <c r="F18" s="310">
        <f>D18+'Income Stmt'!G26</f>
        <v>0</v>
      </c>
      <c r="G18" s="236"/>
      <c r="H18" s="310">
        <f>F18+'Income Stmt'!K26</f>
        <v>0</v>
      </c>
    </row>
    <row r="19" spans="1:8" ht="13.5" thickBot="1">
      <c r="A19" s="222" t="s">
        <v>36</v>
      </c>
      <c r="B19" s="322"/>
      <c r="C19" s="322"/>
      <c r="D19" s="322"/>
      <c r="E19" s="322"/>
      <c r="F19" s="236"/>
      <c r="G19" s="236"/>
      <c r="H19" s="236"/>
    </row>
    <row r="20" spans="1:8" ht="12.75">
      <c r="A20" s="5" t="s">
        <v>47</v>
      </c>
      <c r="B20" s="326">
        <f>B14+B15+B16+B17-B18+B19</f>
        <v>0</v>
      </c>
      <c r="C20" s="325"/>
      <c r="D20" s="326">
        <f>D14+D15+D16+D17-D18+D19</f>
        <v>0</v>
      </c>
      <c r="E20" s="325"/>
      <c r="F20" s="326">
        <f>F14+F15+F16+F17-F18+F19</f>
        <v>0</v>
      </c>
      <c r="G20" s="285"/>
      <c r="H20" s="326">
        <f>H14+H15+H16+H17-H18+H19</f>
        <v>0</v>
      </c>
    </row>
    <row r="21" spans="2:8" ht="13.5" thickBot="1">
      <c r="B21" s="322"/>
      <c r="C21" s="322"/>
      <c r="D21" s="322"/>
      <c r="E21" s="322"/>
      <c r="F21" s="236"/>
      <c r="G21" s="236"/>
      <c r="H21" s="236"/>
    </row>
    <row r="22" spans="1:8" ht="13.5" thickBot="1">
      <c r="A22" s="5" t="s">
        <v>97</v>
      </c>
      <c r="B22" s="327">
        <f>B11+B20</f>
        <v>0</v>
      </c>
      <c r="C22" s="325"/>
      <c r="D22" s="327">
        <f>D11+D20</f>
        <v>0</v>
      </c>
      <c r="E22" s="325"/>
      <c r="F22" s="327">
        <f>F11+F20</f>
        <v>0</v>
      </c>
      <c r="G22" s="285"/>
      <c r="H22" s="327">
        <f>H11+H20</f>
        <v>0</v>
      </c>
    </row>
    <row r="23" spans="2:8" ht="13.5" thickTop="1">
      <c r="B23" s="328" t="s">
        <v>209</v>
      </c>
      <c r="C23" s="322"/>
      <c r="D23" s="322"/>
      <c r="E23" s="322"/>
      <c r="F23" s="236"/>
      <c r="G23" s="236"/>
      <c r="H23" s="328" t="s">
        <v>209</v>
      </c>
    </row>
    <row r="24" spans="1:9" ht="13.5" thickBot="1">
      <c r="A24" s="233" t="s">
        <v>48</v>
      </c>
      <c r="B24" s="322"/>
      <c r="C24" s="328" t="s">
        <v>209</v>
      </c>
      <c r="D24" s="328"/>
      <c r="E24" s="322"/>
      <c r="F24" s="236"/>
      <c r="G24" s="236"/>
      <c r="H24" s="236"/>
      <c r="I24" s="39" t="s">
        <v>209</v>
      </c>
    </row>
    <row r="25" spans="1:8" ht="12.75">
      <c r="A25" t="s">
        <v>49</v>
      </c>
      <c r="B25" s="11">
        <v>0</v>
      </c>
      <c r="C25" s="236"/>
      <c r="D25" s="310">
        <v>0</v>
      </c>
      <c r="E25" s="236"/>
      <c r="F25" s="310">
        <v>0</v>
      </c>
      <c r="G25" s="236"/>
      <c r="H25" s="310">
        <v>0</v>
      </c>
    </row>
    <row r="26" spans="1:8" ht="12.75">
      <c r="A26" t="s">
        <v>207</v>
      </c>
      <c r="B26" s="310">
        <v>0</v>
      </c>
      <c r="C26" s="236"/>
      <c r="D26" s="310">
        <f>'Income Stmt'!C29</f>
        <v>0</v>
      </c>
      <c r="E26" s="236"/>
      <c r="F26" s="310">
        <f>'Income Stmt'!G29</f>
        <v>0</v>
      </c>
      <c r="G26" s="236"/>
      <c r="H26" s="310">
        <f>'Income Stmt'!K29</f>
        <v>0</v>
      </c>
    </row>
    <row r="27" spans="1:8" ht="12.75">
      <c r="A27" s="222" t="s">
        <v>272</v>
      </c>
      <c r="B27" s="310">
        <v>0</v>
      </c>
      <c r="C27" s="236"/>
      <c r="D27" s="310">
        <f>' Cash Flow Yr 1'!O31</f>
        <v>0</v>
      </c>
      <c r="E27" s="236"/>
      <c r="F27" s="310">
        <f>'CashFlow Yr 2&amp;3'!O31</f>
        <v>0</v>
      </c>
      <c r="G27" s="236"/>
      <c r="H27" s="310">
        <f>'CashFlow Yr 2&amp;3'!Q31</f>
        <v>0</v>
      </c>
    </row>
    <row r="28" spans="1:8" ht="12.75" customHeight="1">
      <c r="A28" s="222" t="s">
        <v>273</v>
      </c>
      <c r="B28" s="314">
        <v>0</v>
      </c>
      <c r="C28" s="285"/>
      <c r="D28" s="314">
        <v>0</v>
      </c>
      <c r="E28" s="285"/>
      <c r="F28" s="314">
        <v>0</v>
      </c>
      <c r="G28" s="285"/>
      <c r="H28" s="314">
        <v>0</v>
      </c>
    </row>
    <row r="29" spans="1:8" ht="12.75" customHeight="1" thickBot="1">
      <c r="A29" s="222" t="s">
        <v>278</v>
      </c>
      <c r="B29" s="285">
        <v>0</v>
      </c>
      <c r="C29" s="285"/>
      <c r="D29" s="285">
        <v>0</v>
      </c>
      <c r="E29" s="285"/>
      <c r="F29" s="285">
        <v>0</v>
      </c>
      <c r="G29" s="285"/>
      <c r="H29" s="285">
        <v>0</v>
      </c>
    </row>
    <row r="30" spans="1:8" ht="12.75" customHeight="1">
      <c r="A30" s="5" t="s">
        <v>50</v>
      </c>
      <c r="B30" s="326">
        <f>SUM(B25:B29)</f>
        <v>0</v>
      </c>
      <c r="C30" s="285"/>
      <c r="D30" s="326">
        <f>SUM(D25:D27)</f>
        <v>0</v>
      </c>
      <c r="E30" s="285"/>
      <c r="F30" s="326">
        <f>SUM(F25:F27)</f>
        <v>0</v>
      </c>
      <c r="G30" s="285"/>
      <c r="H30" s="326">
        <f>SUM(H25:H27)</f>
        <v>0</v>
      </c>
    </row>
    <row r="31" spans="2:8" ht="12.75" customHeight="1">
      <c r="B31" s="322"/>
      <c r="C31" s="325"/>
      <c r="D31" s="322"/>
      <c r="E31" s="325"/>
      <c r="F31" s="236"/>
      <c r="G31" s="285"/>
      <c r="H31" s="236"/>
    </row>
    <row r="32" spans="1:8" ht="12.75" customHeight="1" thickBot="1">
      <c r="A32" s="233" t="s">
        <v>51</v>
      </c>
      <c r="B32" s="285"/>
      <c r="C32" s="325"/>
      <c r="D32" s="285"/>
      <c r="E32" s="285"/>
      <c r="F32" s="285"/>
      <c r="G32" s="285"/>
      <c r="H32" s="285"/>
    </row>
    <row r="33" spans="1:8" ht="12.75" customHeight="1">
      <c r="A33" t="s">
        <v>52</v>
      </c>
      <c r="B33" s="310">
        <v>0</v>
      </c>
      <c r="C33" s="325"/>
      <c r="D33" s="310">
        <v>0</v>
      </c>
      <c r="E33" s="325"/>
      <c r="F33" s="310">
        <v>0</v>
      </c>
      <c r="G33" s="285"/>
      <c r="H33" s="310">
        <v>0</v>
      </c>
    </row>
    <row r="34" spans="1:8" ht="12.75" customHeight="1">
      <c r="A34" t="s">
        <v>98</v>
      </c>
      <c r="B34" s="310">
        <f>'Sources-Uses'!G9-B27</f>
        <v>0</v>
      </c>
      <c r="C34" s="325"/>
      <c r="D34" s="329">
        <f>B34-D27</f>
        <v>0</v>
      </c>
      <c r="E34" s="325"/>
      <c r="F34" s="310">
        <f>D34-F27</f>
        <v>0</v>
      </c>
      <c r="G34" s="285"/>
      <c r="H34" s="310">
        <f>F34-H27</f>
        <v>0</v>
      </c>
    </row>
    <row r="35" spans="1:9" ht="12.75" customHeight="1">
      <c r="A35" s="222" t="s">
        <v>270</v>
      </c>
      <c r="B35" s="310">
        <f>'Sources-Uses'!G8-B28</f>
        <v>0</v>
      </c>
      <c r="C35" s="325"/>
      <c r="D35" s="310">
        <v>0</v>
      </c>
      <c r="E35" s="325"/>
      <c r="F35" s="310">
        <v>0</v>
      </c>
      <c r="G35" s="285"/>
      <c r="H35" s="310">
        <v>0</v>
      </c>
      <c r="I35" s="41"/>
    </row>
    <row r="36" spans="1:8" ht="12.75" customHeight="1" thickBot="1">
      <c r="A36" s="222" t="s">
        <v>271</v>
      </c>
      <c r="B36" s="236">
        <f>'Sources-Uses'!G10</f>
        <v>0</v>
      </c>
      <c r="C36" s="325"/>
      <c r="D36" s="322"/>
      <c r="E36" s="325"/>
      <c r="F36" s="236"/>
      <c r="G36" s="285"/>
      <c r="H36" s="236"/>
    </row>
    <row r="37" spans="1:8" ht="12.75" customHeight="1">
      <c r="A37" s="5" t="s">
        <v>53</v>
      </c>
      <c r="B37" s="326">
        <f>SUM(B32:B35)</f>
        <v>0</v>
      </c>
      <c r="C37" s="325"/>
      <c r="D37" s="326">
        <f>SUM(D32:D35)</f>
        <v>0</v>
      </c>
      <c r="E37" s="325"/>
      <c r="F37" s="326">
        <f>SUM(F32:F35)</f>
        <v>0</v>
      </c>
      <c r="G37" s="285"/>
      <c r="H37" s="326">
        <f>SUM(H32:H35)</f>
        <v>0</v>
      </c>
    </row>
    <row r="38" spans="2:8" ht="12.75" customHeight="1">
      <c r="B38" s="322"/>
      <c r="C38" s="325"/>
      <c r="D38" s="322"/>
      <c r="E38" s="325"/>
      <c r="F38" s="236"/>
      <c r="G38" s="285"/>
      <c r="H38" s="236"/>
    </row>
    <row r="39" spans="1:8" ht="12.75" customHeight="1" thickBot="1">
      <c r="A39" s="5" t="s">
        <v>54</v>
      </c>
      <c r="B39" s="302">
        <f>B30+B37</f>
        <v>0</v>
      </c>
      <c r="C39" s="325"/>
      <c r="D39" s="302">
        <f>D30+D37</f>
        <v>0</v>
      </c>
      <c r="E39" s="325"/>
      <c r="F39" s="302">
        <f>F30+F37</f>
        <v>0</v>
      </c>
      <c r="G39" s="285"/>
      <c r="H39" s="302">
        <f>H30+H37</f>
        <v>0</v>
      </c>
    </row>
    <row r="40" spans="2:8" ht="12.75" customHeight="1">
      <c r="B40" s="322"/>
      <c r="C40" s="325"/>
      <c r="D40" s="322"/>
      <c r="E40" s="325"/>
      <c r="F40" s="236"/>
      <c r="G40" s="285"/>
      <c r="H40" s="236"/>
    </row>
    <row r="41" spans="1:8" ht="12.75" customHeight="1" thickBot="1">
      <c r="A41" s="5" t="s">
        <v>57</v>
      </c>
      <c r="B41" s="302">
        <f>B22-B39</f>
        <v>0</v>
      </c>
      <c r="C41" s="325"/>
      <c r="D41" s="302">
        <f>D22-D39</f>
        <v>0</v>
      </c>
      <c r="E41" s="325"/>
      <c r="F41" s="302">
        <f>F22-F39</f>
        <v>0</v>
      </c>
      <c r="G41" s="285"/>
      <c r="H41" s="302">
        <f>H22-H39</f>
        <v>0</v>
      </c>
    </row>
    <row r="42" spans="2:8" ht="12.75" customHeight="1" thickBot="1">
      <c r="B42" s="322"/>
      <c r="C42" s="325"/>
      <c r="D42" s="322"/>
      <c r="E42" s="325"/>
      <c r="F42" s="236"/>
      <c r="G42" s="285"/>
      <c r="H42" s="236"/>
    </row>
    <row r="43" spans="1:8" ht="12.75" customHeight="1" thickBot="1">
      <c r="A43" s="5" t="s">
        <v>55</v>
      </c>
      <c r="B43" s="327">
        <f>B39+B41</f>
        <v>0</v>
      </c>
      <c r="C43" s="325"/>
      <c r="D43" s="327">
        <f>D39+D41</f>
        <v>0</v>
      </c>
      <c r="E43" s="325"/>
      <c r="F43" s="327">
        <f>F39+F41</f>
        <v>0</v>
      </c>
      <c r="G43" s="285"/>
      <c r="H43" s="327">
        <f>H39+H41</f>
        <v>0</v>
      </c>
    </row>
    <row r="44" spans="1:8" ht="12.75" customHeight="1" thickTop="1">
      <c r="A44" s="3"/>
      <c r="B44" s="330"/>
      <c r="C44" s="330"/>
      <c r="D44" s="330"/>
      <c r="E44" s="330"/>
      <c r="F44" s="330"/>
      <c r="G44" s="330"/>
      <c r="H44" s="322"/>
    </row>
    <row r="45" spans="1:9" ht="12.75" customHeight="1">
      <c r="A45" s="223" t="s">
        <v>274</v>
      </c>
      <c r="B45" s="331">
        <f>B11-B30</f>
        <v>0</v>
      </c>
      <c r="C45" s="331"/>
      <c r="D45" s="331">
        <f>D11-D30</f>
        <v>0</v>
      </c>
      <c r="E45" s="331"/>
      <c r="F45" s="331">
        <f>F11-F30</f>
        <v>0</v>
      </c>
      <c r="G45" s="331"/>
      <c r="H45" s="331">
        <f>H11-H30</f>
        <v>0</v>
      </c>
      <c r="I45" s="36"/>
    </row>
    <row r="46" spans="1:9" ht="14.25" customHeight="1">
      <c r="A46" s="223" t="s">
        <v>275</v>
      </c>
      <c r="B46" s="234" t="e">
        <f>B11/B30</f>
        <v>#DIV/0!</v>
      </c>
      <c r="C46" s="40" t="s">
        <v>265</v>
      </c>
      <c r="D46" s="234" t="e">
        <f>D11/D30</f>
        <v>#DIV/0!</v>
      </c>
      <c r="E46" s="40" t="s">
        <v>265</v>
      </c>
      <c r="F46" s="234" t="e">
        <f>F11/F30</f>
        <v>#DIV/0!</v>
      </c>
      <c r="G46" s="40" t="s">
        <v>265</v>
      </c>
      <c r="H46" s="234" t="e">
        <f>H11/H30</f>
        <v>#DIV/0!</v>
      </c>
      <c r="I46" s="40" t="s">
        <v>265</v>
      </c>
    </row>
    <row r="47" spans="1:9" ht="12.75">
      <c r="A47" s="223" t="s">
        <v>276</v>
      </c>
      <c r="B47" s="231" t="e">
        <f>SUM(B7:B8)/B30</f>
        <v>#DIV/0!</v>
      </c>
      <c r="C47" s="222" t="s">
        <v>265</v>
      </c>
      <c r="D47" s="231" t="e">
        <f>SUM(D7:D8)/D30</f>
        <v>#DIV/0!</v>
      </c>
      <c r="E47" s="222" t="s">
        <v>265</v>
      </c>
      <c r="F47" s="231" t="e">
        <f>SUM(F7:F8)/F30</f>
        <v>#DIV/0!</v>
      </c>
      <c r="G47" s="222" t="s">
        <v>265</v>
      </c>
      <c r="H47" s="231" t="e">
        <f>SUM(H7:H8)/H30</f>
        <v>#DIV/0!</v>
      </c>
      <c r="I47" s="222" t="s">
        <v>265</v>
      </c>
    </row>
    <row r="48" spans="1:9" ht="12.75">
      <c r="A48" s="223" t="s">
        <v>277</v>
      </c>
      <c r="B48" s="231" t="e">
        <f>B39/B41</f>
        <v>#DIV/0!</v>
      </c>
      <c r="C48" s="222" t="s">
        <v>265</v>
      </c>
      <c r="D48" s="231" t="e">
        <f>D39/D41</f>
        <v>#DIV/0!</v>
      </c>
      <c r="E48" s="222" t="s">
        <v>265</v>
      </c>
      <c r="F48" s="231" t="e">
        <f>F39/F41</f>
        <v>#DIV/0!</v>
      </c>
      <c r="G48" s="222" t="s">
        <v>265</v>
      </c>
      <c r="H48" s="231" t="e">
        <f>H39/H41</f>
        <v>#DIV/0!</v>
      </c>
      <c r="I48" s="222" t="s">
        <v>265</v>
      </c>
    </row>
    <row r="49" spans="1:5" ht="12.75">
      <c r="A49" s="6"/>
      <c r="E49" s="6"/>
    </row>
    <row r="50" ht="12.75" hidden="1">
      <c r="D50" t="s">
        <v>126</v>
      </c>
    </row>
    <row r="51" spans="1:4" ht="12.75" hidden="1">
      <c r="A51" t="s">
        <v>125</v>
      </c>
      <c r="B51" s="18">
        <f>IF($B$41=0,$D$51+'Income Stmt'!C30-' Cash Flow Yr 1'!O36,$B$41+'Income Stmt'!C30-' Cash Flow Yr 1'!O36)</f>
        <v>0</v>
      </c>
      <c r="D51">
        <v>0</v>
      </c>
    </row>
    <row r="52" ht="12.75" hidden="1"/>
    <row r="53" spans="1:8" ht="12.75" hidden="1">
      <c r="A53" s="1" t="s">
        <v>91</v>
      </c>
      <c r="B53" t="s">
        <v>127</v>
      </c>
      <c r="D53" t="s">
        <v>128</v>
      </c>
      <c r="F53" t="s">
        <v>129</v>
      </c>
      <c r="H53" t="s">
        <v>130</v>
      </c>
    </row>
    <row r="54" spans="1:8" ht="12.75" hidden="1">
      <c r="A54" t="s">
        <v>1</v>
      </c>
      <c r="B54">
        <v>0</v>
      </c>
      <c r="D54">
        <v>0</v>
      </c>
      <c r="E54" s="5"/>
      <c r="F54">
        <v>0</v>
      </c>
      <c r="H54">
        <v>0</v>
      </c>
    </row>
    <row r="55" spans="1:8" ht="12.75" hidden="1">
      <c r="A55" s="40" t="s">
        <v>2</v>
      </c>
      <c r="B55">
        <v>0</v>
      </c>
      <c r="D55">
        <v>0</v>
      </c>
      <c r="F55">
        <v>0</v>
      </c>
      <c r="H55">
        <v>0</v>
      </c>
    </row>
    <row r="56" spans="1:8" ht="12.75" hidden="1">
      <c r="A56" t="s">
        <v>3</v>
      </c>
      <c r="B56">
        <v>0</v>
      </c>
      <c r="D56">
        <v>0</v>
      </c>
      <c r="E56" s="6"/>
      <c r="F56">
        <v>0</v>
      </c>
      <c r="H56">
        <v>0</v>
      </c>
    </row>
    <row r="57" spans="1:8" ht="12.75" hidden="1">
      <c r="A57" t="s">
        <v>5</v>
      </c>
      <c r="B57">
        <v>0</v>
      </c>
      <c r="D57">
        <v>0</v>
      </c>
      <c r="F57">
        <v>0</v>
      </c>
      <c r="H57">
        <v>0</v>
      </c>
    </row>
    <row r="61" spans="1:5" ht="12.75">
      <c r="A61" s="16"/>
      <c r="E61" s="5"/>
    </row>
    <row r="63" spans="1:5" ht="12.75">
      <c r="A63" s="5"/>
      <c r="E63" s="5"/>
    </row>
    <row r="65" ht="12.75">
      <c r="E65" s="5"/>
    </row>
    <row r="67" spans="1:5" ht="15">
      <c r="A67" s="19"/>
      <c r="E67" s="17"/>
    </row>
  </sheetData>
  <sheetProtection/>
  <mergeCells count="3">
    <mergeCell ref="A3:G3"/>
    <mergeCell ref="A1:I1"/>
    <mergeCell ref="B2:I2"/>
  </mergeCells>
  <printOptions horizontalCentered="1" verticalCentered="1"/>
  <pageMargins left="0" right="0" top="0.5" bottom="0.5" header="0.3" footer="0.3"/>
  <pageSetup horizontalDpi="300" verticalDpi="300" orientation="portrait" r:id="rId1"/>
  <ignoredErrors>
    <ignoredError sqref="B4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B113"/>
  <sheetViews>
    <sheetView zoomScaleSheetLayoutView="100" zoomScalePageLayoutView="0" workbookViewId="0" topLeftCell="A1">
      <selection activeCell="B82" sqref="B82"/>
    </sheetView>
  </sheetViews>
  <sheetFormatPr defaultColWidth="10.28125" defaultRowHeight="12.75"/>
  <cols>
    <col min="1" max="1" width="25.8515625" style="77" customWidth="1"/>
    <col min="2" max="2" width="76.00390625" style="69" customWidth="1"/>
    <col min="3" max="16384" width="10.28125" style="70" customWidth="1"/>
  </cols>
  <sheetData>
    <row r="1" ht="18">
      <c r="A1" s="68" t="s">
        <v>155</v>
      </c>
    </row>
    <row r="2" ht="18">
      <c r="A2" s="68"/>
    </row>
    <row r="4" spans="1:2" ht="15">
      <c r="A4" s="71" t="s">
        <v>156</v>
      </c>
      <c r="B4" s="72"/>
    </row>
    <row r="5" spans="1:2" ht="14.25">
      <c r="A5" s="73" t="str">
        <f>' Cash Flow Yr 1'!A7</f>
        <v>Cash on Hand</v>
      </c>
      <c r="B5" s="72"/>
    </row>
    <row r="6" spans="1:2" ht="27" customHeight="1">
      <c r="A6" s="73" t="str">
        <f>' Cash Flow Yr 1'!A8</f>
        <v>Cash Sales</v>
      </c>
      <c r="B6" s="72"/>
    </row>
    <row r="7" spans="1:2" ht="27" customHeight="1">
      <c r="A7" s="73" t="str">
        <f>' Cash Flow Yr 1'!A9</f>
        <v>Collections from Credit Accounts</v>
      </c>
      <c r="B7" s="72"/>
    </row>
    <row r="8" spans="1:2" ht="27" customHeight="1">
      <c r="A8" s="73" t="str">
        <f>' Cash Flow Yr 1'!A10</f>
        <v>Loans or Cash Injections</v>
      </c>
      <c r="B8" s="72"/>
    </row>
    <row r="9" spans="1:2" ht="15">
      <c r="A9" s="71" t="s">
        <v>157</v>
      </c>
      <c r="B9" s="72"/>
    </row>
    <row r="10" spans="1:2" ht="29.25" customHeight="1">
      <c r="A10" s="73" t="str">
        <f>' Cash Flow Yr 1'!A14</f>
        <v>Cost of Goods Sold</v>
      </c>
      <c r="B10" s="72"/>
    </row>
    <row r="11" spans="1:2" ht="33.75" customHeight="1">
      <c r="A11" s="73" t="str">
        <f>' Cash Flow Yr 1'!A15</f>
        <v>Gross Wages</v>
      </c>
      <c r="B11" s="74"/>
    </row>
    <row r="12" spans="1:2" ht="36" customHeight="1">
      <c r="A12" s="73" t="str">
        <f>' Cash Flow Yr 1'!A16</f>
        <v>Payroll Expense</v>
      </c>
      <c r="B12" s="72"/>
    </row>
    <row r="13" spans="1:2" ht="37.5" customHeight="1">
      <c r="A13" s="73" t="str">
        <f>' Cash Flow Yr 1'!A17</f>
        <v>Supplies (office &amp; operating)</v>
      </c>
      <c r="B13" s="74"/>
    </row>
    <row r="14" spans="1:2" ht="37.5" customHeight="1">
      <c r="A14" s="73" t="str">
        <f>' Cash Flow Yr 1'!A18</f>
        <v>Repairs and Maintenance</v>
      </c>
      <c r="B14" s="72"/>
    </row>
    <row r="15" spans="1:2" ht="39" customHeight="1">
      <c r="A15" s="73" t="str">
        <f>' Cash Flow Yr 1'!A19</f>
        <v>Advertising</v>
      </c>
      <c r="B15" s="74"/>
    </row>
    <row r="16" spans="1:2" ht="37.5" customHeight="1">
      <c r="A16" s="73" t="str">
        <f>' Cash Flow Yr 1'!A20</f>
        <v>Car, Delivery, and Travel</v>
      </c>
      <c r="B16" s="72"/>
    </row>
    <row r="17" spans="1:2" ht="23.25" customHeight="1">
      <c r="A17" s="73" t="str">
        <f>' Cash Flow Yr 1'!A21</f>
        <v>Accounting and Legal</v>
      </c>
      <c r="B17" s="72"/>
    </row>
    <row r="18" spans="1:2" ht="23.25" customHeight="1">
      <c r="A18" s="73" t="str">
        <f>' Cash Flow Yr 1'!A23</f>
        <v>Phone/Internet</v>
      </c>
      <c r="B18" s="72"/>
    </row>
    <row r="19" spans="1:2" ht="39" customHeight="1">
      <c r="A19" s="73" t="str">
        <f>' Cash Flow Yr 1'!A24</f>
        <v>Utilities</v>
      </c>
      <c r="B19" s="72"/>
    </row>
    <row r="20" spans="1:2" ht="39" customHeight="1">
      <c r="A20" s="73" t="str">
        <f>' Cash Flow Yr 1'!A25</f>
        <v>Insurance</v>
      </c>
      <c r="B20" s="72"/>
    </row>
    <row r="21" spans="1:2" ht="39" customHeight="1">
      <c r="A21" s="73" t="str">
        <f>' Cash Flow Yr 1'!A26</f>
        <v>Interest-Bank *</v>
      </c>
      <c r="B21" s="72"/>
    </row>
    <row r="22" spans="1:2" ht="39" customHeight="1">
      <c r="A22" s="73" t="str">
        <f>' Cash Flow Yr 1'!A28</f>
        <v>Misc.</v>
      </c>
      <c r="B22" s="72"/>
    </row>
    <row r="23" spans="1:2" ht="39" customHeight="1">
      <c r="A23" s="73" t="str">
        <f>' Cash Flow Yr 1'!A29</f>
        <v>Other Expenses</v>
      </c>
      <c r="B23" s="72"/>
    </row>
    <row r="24" spans="1:2" ht="39" customHeight="1">
      <c r="A24" s="73" t="str">
        <f>' Cash Flow Yr 1'!A30</f>
        <v>Sub-total</v>
      </c>
      <c r="B24" s="72"/>
    </row>
    <row r="25" spans="1:2" ht="39" customHeight="1">
      <c r="A25" s="73" t="str">
        <f>' Cash Flow Yr 1'!A31</f>
        <v>Loan Principal Payment-Bank *</v>
      </c>
      <c r="B25" s="72"/>
    </row>
    <row r="26" spans="1:2" ht="39" customHeight="1">
      <c r="A26" s="73" t="str">
        <f>' Cash Flow Yr 1'!A33</f>
        <v>Capital Purchases</v>
      </c>
      <c r="B26" s="72"/>
    </row>
    <row r="27" spans="1:2" ht="23.25" customHeight="1">
      <c r="A27" s="73" t="str">
        <f>' Cash Flow Yr 1'!A34</f>
        <v>Other Startup Costs </v>
      </c>
      <c r="B27" s="72"/>
    </row>
    <row r="28" spans="1:2" ht="33.75" customHeight="1">
      <c r="A28" s="73" t="str">
        <f>' Cash Flow Yr 1'!A35</f>
        <v>Income Tax Reserve</v>
      </c>
      <c r="B28" s="72"/>
    </row>
    <row r="29" spans="1:2" ht="33.75" customHeight="1">
      <c r="A29" s="73" t="str">
        <f>' Cash Flow Yr 1'!A36</f>
        <v>Owners Withdrawal</v>
      </c>
      <c r="B29" s="72"/>
    </row>
    <row r="30" spans="1:2" ht="36" customHeight="1">
      <c r="A30" s="73" t="str">
        <f>' Cash Flow Yr 1'!A37</f>
        <v>Total Cash Paid Out</v>
      </c>
      <c r="B30" s="72"/>
    </row>
    <row r="31" spans="1:2" ht="52.5" customHeight="1">
      <c r="A31" s="73" t="str">
        <f>' Cash Flow Yr 1'!A38</f>
        <v>Cash Position </v>
      </c>
      <c r="B31" s="74"/>
    </row>
    <row r="32" spans="1:2" ht="23.25" customHeight="1">
      <c r="A32" s="73">
        <f>' Cash Flow Yr 1'!A39</f>
        <v>0</v>
      </c>
      <c r="B32" s="72"/>
    </row>
    <row r="33" spans="1:2" ht="23.25" customHeight="1">
      <c r="A33" s="73" t="str">
        <f>' Cash Flow Yr 1'!A40</f>
        <v>*  Will populate from Amortization - Bank</v>
      </c>
      <c r="B33" s="72"/>
    </row>
    <row r="34" spans="1:2" ht="23.25" customHeight="1">
      <c r="A34" s="73" t="str">
        <f>' Cash Flow Yr 1'!A41</f>
        <v>** Will populate from Amortization - Gap</v>
      </c>
      <c r="B34" s="72"/>
    </row>
    <row r="35" spans="1:2" ht="23.25" customHeight="1">
      <c r="A35" s="73">
        <f>' Cash Flow Yr 1'!A42</f>
        <v>0</v>
      </c>
      <c r="B35" s="72"/>
    </row>
    <row r="36" spans="1:2" ht="23.25" customHeight="1">
      <c r="A36" s="73">
        <f>' Cash Flow Yr 1'!A43</f>
        <v>0</v>
      </c>
      <c r="B36" s="72"/>
    </row>
    <row r="37" spans="1:2" ht="23.25" customHeight="1">
      <c r="A37" s="73" t="str">
        <f>' Cash Flow Yr 1'!A44</f>
        <v>Cash on Hand Month 1</v>
      </c>
      <c r="B37" s="72"/>
    </row>
    <row r="38" spans="1:2" ht="23.25" customHeight="1">
      <c r="A38" s="73">
        <f>' Cash Flow Yr 1'!A45</f>
        <v>0</v>
      </c>
      <c r="B38" s="72"/>
    </row>
    <row r="39" spans="1:2" ht="23.25" customHeight="1">
      <c r="A39" s="73">
        <f>' Cash Flow Yr 1'!A46</f>
        <v>0</v>
      </c>
      <c r="B39" s="72"/>
    </row>
    <row r="40" spans="1:2" ht="23.25" customHeight="1">
      <c r="A40" s="73" t="str">
        <f>' Cash Flow Yr 1'!A47</f>
        <v>COGS same each month</v>
      </c>
      <c r="B40" s="72"/>
    </row>
    <row r="41" spans="1:2" ht="23.25" customHeight="1">
      <c r="A41" s="73">
        <f>' Cash Flow Yr 1'!A48</f>
        <v>0</v>
      </c>
      <c r="B41" s="72"/>
    </row>
    <row r="42" spans="1:2" ht="23.25" customHeight="1">
      <c r="A42" s="73" t="str">
        <f>' Cash Flow Yr 1'!A49</f>
        <v>Sales year1</v>
      </c>
      <c r="B42" s="72"/>
    </row>
    <row r="43" spans="1:2" ht="23.25" customHeight="1">
      <c r="A43" s="73" t="str">
        <f>' Cash Flow Yr 1'!A50</f>
        <v>% of sales</v>
      </c>
      <c r="B43" s="72"/>
    </row>
    <row r="44" spans="1:2" ht="23.25" customHeight="1">
      <c r="A44" s="73" t="str">
        <f>' Cash Flow Yr 1'!A51</f>
        <v>COGS year1</v>
      </c>
      <c r="B44" s="72"/>
    </row>
    <row r="45" spans="1:2" ht="23.25" customHeight="1">
      <c r="A45" s="73" t="str">
        <f>' Cash Flow Yr 1'!A52</f>
        <v>cash sales year2</v>
      </c>
      <c r="B45" s="72"/>
    </row>
    <row r="46" spans="1:2" ht="23.25" customHeight="1">
      <c r="A46" s="73" t="str">
        <f>' Cash Flow Yr 1'!A53</f>
        <v>COGS year2</v>
      </c>
      <c r="B46" s="72"/>
    </row>
    <row r="47" spans="1:2" ht="23.25" customHeight="1">
      <c r="A47" s="73" t="str">
        <f>' Cash Flow Yr 1'!A54</f>
        <v>cash sales year3</v>
      </c>
      <c r="B47" s="72"/>
    </row>
    <row r="48" spans="1:2" ht="23.25" customHeight="1">
      <c r="A48" s="73" t="str">
        <f>' Cash Flow Yr 1'!A55</f>
        <v>COGS year3</v>
      </c>
      <c r="B48" s="72"/>
    </row>
    <row r="49" spans="1:2" ht="23.25" customHeight="1">
      <c r="A49" s="73">
        <f>' Cash Flow Yr 1'!A56</f>
        <v>0</v>
      </c>
      <c r="B49" s="72"/>
    </row>
    <row r="50" spans="1:2" ht="23.25" customHeight="1">
      <c r="A50" s="73" t="str">
        <f>' Cash Flow Yr 1'!A57</f>
        <v>Collection on credit acct</v>
      </c>
      <c r="B50" s="72"/>
    </row>
    <row r="51" spans="1:2" ht="23.25" customHeight="1">
      <c r="A51" s="73"/>
      <c r="B51" s="72"/>
    </row>
    <row r="52" spans="1:2" ht="23.25" customHeight="1">
      <c r="A52" s="73"/>
      <c r="B52" s="72"/>
    </row>
    <row r="53" ht="18">
      <c r="A53" s="68" t="s">
        <v>153</v>
      </c>
    </row>
    <row r="54" spans="1:2" ht="32.25" customHeight="1">
      <c r="A54" s="78" t="str">
        <f>'Income Stmt'!A5</f>
        <v>Income</v>
      </c>
      <c r="B54" s="72"/>
    </row>
    <row r="55" spans="1:2" s="80" customFormat="1" ht="32.25" customHeight="1">
      <c r="A55" s="76" t="str">
        <f>'Income Stmt'!A6</f>
        <v>Gross Receipts </v>
      </c>
      <c r="B55" s="79"/>
    </row>
    <row r="56" spans="1:2" s="80" customFormat="1" ht="32.25" customHeight="1">
      <c r="A56" s="76" t="str">
        <f>'Income Stmt'!A7</f>
        <v>Merchandise Cost</v>
      </c>
      <c r="B56" s="79"/>
    </row>
    <row r="57" spans="1:2" ht="32.25" customHeight="1">
      <c r="A57" s="78"/>
      <c r="B57" s="72"/>
    </row>
    <row r="58" spans="1:2" ht="32.25" customHeight="1">
      <c r="A58" s="78" t="str">
        <f>'Income Stmt'!A10</f>
        <v>Expenses</v>
      </c>
      <c r="B58" s="72"/>
    </row>
    <row r="59" spans="1:2" s="80" customFormat="1" ht="32.25" customHeight="1">
      <c r="A59" s="76" t="str">
        <f>'Income Stmt'!A11</f>
        <v>Employee Wages</v>
      </c>
      <c r="B59" s="79"/>
    </row>
    <row r="60" spans="1:2" s="80" customFormat="1" ht="32.25" customHeight="1">
      <c r="A60" s="76" t="str">
        <f>'Income Stmt'!A12</f>
        <v>Payroll Expense</v>
      </c>
      <c r="B60" s="79"/>
    </row>
    <row r="61" spans="1:2" s="80" customFormat="1" ht="32.25" customHeight="1">
      <c r="A61" s="76" t="str">
        <f>'Income Stmt'!A13</f>
        <v>Supplies</v>
      </c>
      <c r="B61" s="79"/>
    </row>
    <row r="62" spans="1:2" s="80" customFormat="1" ht="32.25" customHeight="1">
      <c r="A62" s="76" t="str">
        <f>'Income Stmt'!A14</f>
        <v>Repairs and Maintenance</v>
      </c>
      <c r="B62" s="79"/>
    </row>
    <row r="63" spans="1:2" s="80" customFormat="1" ht="32.25" customHeight="1">
      <c r="A63" s="76" t="str">
        <f>'Income Stmt'!A15</f>
        <v>Advertising</v>
      </c>
      <c r="B63" s="79"/>
    </row>
    <row r="64" spans="1:2" s="80" customFormat="1" ht="32.25" customHeight="1">
      <c r="A64" s="76" t="str">
        <f>'Income Stmt'!A16</f>
        <v>Car, Delivery, and Travel</v>
      </c>
      <c r="B64" s="79"/>
    </row>
    <row r="65" spans="1:2" s="80" customFormat="1" ht="32.25" customHeight="1">
      <c r="A65" s="76" t="str">
        <f>'Income Stmt'!A17</f>
        <v>Accounting and Legal</v>
      </c>
      <c r="B65" s="79"/>
    </row>
    <row r="66" spans="1:2" s="80" customFormat="1" ht="32.25" customHeight="1">
      <c r="A66" s="76" t="str">
        <f>'Income Stmt'!A18</f>
        <v>Rent</v>
      </c>
      <c r="B66" s="79"/>
    </row>
    <row r="67" spans="1:2" s="80" customFormat="1" ht="32.25" customHeight="1">
      <c r="A67" s="76" t="str">
        <f>'Income Stmt'!A20</f>
        <v>Utilities</v>
      </c>
      <c r="B67" s="79"/>
    </row>
    <row r="68" spans="1:2" s="80" customFormat="1" ht="32.25" customHeight="1">
      <c r="A68" s="76" t="str">
        <f>'Income Stmt'!A21</f>
        <v>Insurance</v>
      </c>
      <c r="B68" s="79"/>
    </row>
    <row r="69" spans="1:2" s="80" customFormat="1" ht="32.25" customHeight="1">
      <c r="A69" s="76" t="str">
        <f>'Income Stmt'!A22</f>
        <v>Interest-Bank</v>
      </c>
      <c r="B69" s="79"/>
    </row>
    <row r="70" spans="1:2" s="80" customFormat="1" ht="32.25" customHeight="1">
      <c r="A70" s="76" t="str">
        <f>'Income Stmt'!A24</f>
        <v>Misc.</v>
      </c>
      <c r="B70" s="79"/>
    </row>
    <row r="71" spans="1:2" s="80" customFormat="1" ht="32.25" customHeight="1">
      <c r="A71" s="76" t="str">
        <f>'Income Stmt'!A25</f>
        <v>Other</v>
      </c>
      <c r="B71" s="79"/>
    </row>
    <row r="72" spans="1:2" s="80" customFormat="1" ht="32.25" customHeight="1">
      <c r="A72" s="76" t="str">
        <f>'Income Stmt'!A26</f>
        <v>Depreciation</v>
      </c>
      <c r="B72" s="79"/>
    </row>
    <row r="73" spans="1:2" s="80" customFormat="1" ht="32.25" customHeight="1">
      <c r="A73" s="76" t="str">
        <f>'Income Stmt'!A27</f>
        <v>Total Expenses</v>
      </c>
      <c r="B73" s="79"/>
    </row>
    <row r="74" spans="1:2" s="80" customFormat="1" ht="32.25" customHeight="1">
      <c r="A74" s="76" t="str">
        <f>'Income Stmt'!A28</f>
        <v>Net Profit</v>
      </c>
      <c r="B74" s="79"/>
    </row>
    <row r="75" spans="1:2" s="80" customFormat="1" ht="32.25" customHeight="1">
      <c r="A75" s="76" t="str">
        <f>'Income Stmt'!A29</f>
        <v>Less Income Taxes</v>
      </c>
      <c r="B75" s="79"/>
    </row>
    <row r="76" spans="1:2" s="80" customFormat="1" ht="32.25" customHeight="1">
      <c r="A76" s="76" t="str">
        <f>'Income Stmt'!A30</f>
        <v>Net Profit after Taxes</v>
      </c>
      <c r="B76" s="79"/>
    </row>
    <row r="77" spans="1:2" s="80" customFormat="1" ht="32.25" customHeight="1">
      <c r="A77" s="81"/>
      <c r="B77" s="82"/>
    </row>
    <row r="79" ht="18">
      <c r="A79" s="68" t="s">
        <v>154</v>
      </c>
    </row>
    <row r="80" spans="1:2" ht="22.5" customHeight="1">
      <c r="A80" s="78" t="str">
        <f>'Balance Sheet'!A6</f>
        <v>Current Assets:</v>
      </c>
      <c r="B80" s="72"/>
    </row>
    <row r="81" spans="1:2" ht="32.25" customHeight="1">
      <c r="A81" s="75" t="str">
        <f>'Balance Sheet'!A7</f>
        <v>Cash</v>
      </c>
      <c r="B81" s="72"/>
    </row>
    <row r="82" spans="1:2" ht="32.25" customHeight="1">
      <c r="A82" s="75" t="str">
        <f>'Balance Sheet'!A8</f>
        <v>Accounts Receivable</v>
      </c>
      <c r="B82" s="72"/>
    </row>
    <row r="83" spans="1:2" ht="32.25" customHeight="1">
      <c r="A83" s="75" t="str">
        <f>'Balance Sheet'!A9</f>
        <v>Merchandise Inventory </v>
      </c>
      <c r="B83" s="72"/>
    </row>
    <row r="84" spans="1:2" ht="24" customHeight="1">
      <c r="A84" s="78" t="str">
        <f>'Balance Sheet'!A13</f>
        <v>Fixed Assets:</v>
      </c>
      <c r="B84" s="72"/>
    </row>
    <row r="85" spans="1:2" ht="32.25" customHeight="1">
      <c r="A85" s="75" t="str">
        <f>'Balance Sheet'!A14</f>
        <v>Land </v>
      </c>
      <c r="B85" s="72"/>
    </row>
    <row r="86" spans="1:2" ht="32.25" customHeight="1">
      <c r="A86" s="75" t="str">
        <f>'Balance Sheet'!A15</f>
        <v>Building</v>
      </c>
      <c r="B86" s="72"/>
    </row>
    <row r="87" spans="1:2" ht="32.25" customHeight="1">
      <c r="A87" s="75" t="str">
        <f>'Balance Sheet'!A16</f>
        <v>Equipment</v>
      </c>
      <c r="B87" s="72"/>
    </row>
    <row r="88" spans="1:2" ht="32.25" customHeight="1">
      <c r="A88" s="75" t="str">
        <f>'Balance Sheet'!A17</f>
        <v>Vehicles</v>
      </c>
      <c r="B88" s="72"/>
    </row>
    <row r="89" spans="1:2" ht="32.25" customHeight="1">
      <c r="A89" s="75" t="str">
        <f>'Balance Sheet'!A18</f>
        <v>Less Acc. Depreciation</v>
      </c>
      <c r="B89" s="72"/>
    </row>
    <row r="90" spans="1:2" ht="32.25" customHeight="1">
      <c r="A90" s="75" t="str">
        <f>'Balance Sheet'!A19</f>
        <v>Other</v>
      </c>
      <c r="B90" s="72"/>
    </row>
    <row r="91" spans="1:2" ht="32.25" customHeight="1">
      <c r="A91" s="75"/>
      <c r="B91" s="72"/>
    </row>
    <row r="92" spans="1:2" ht="32.25" customHeight="1">
      <c r="A92" s="75"/>
      <c r="B92" s="72"/>
    </row>
    <row r="93" spans="1:2" ht="14.25">
      <c r="A93" s="75"/>
      <c r="B93" s="72"/>
    </row>
    <row r="94" spans="1:2" ht="14.25">
      <c r="A94" s="75">
        <f>'Balance Sheet'!A23</f>
        <v>0</v>
      </c>
      <c r="B94" s="72"/>
    </row>
    <row r="95" spans="1:2" ht="15">
      <c r="A95" s="78" t="str">
        <f>'Balance Sheet'!A24</f>
        <v>Current Liabilities:</v>
      </c>
      <c r="B95" s="72"/>
    </row>
    <row r="96" spans="1:2" ht="14.25">
      <c r="A96" s="75" t="str">
        <f>'Balance Sheet'!A25</f>
        <v>Accounts Payable</v>
      </c>
      <c r="B96" s="72"/>
    </row>
    <row r="97" spans="1:2" ht="28.5">
      <c r="A97" s="75" t="str">
        <f>'Balance Sheet'!A26</f>
        <v>Other Current Liabilities-Taxes</v>
      </c>
      <c r="B97" s="72"/>
    </row>
    <row r="98" spans="1:2" ht="28.5">
      <c r="A98" s="75" t="str">
        <f>'Balance Sheet'!A27</f>
        <v>Current Portion LTD-Bank Loan</v>
      </c>
      <c r="B98" s="72"/>
    </row>
    <row r="99" spans="1:2" ht="28.5">
      <c r="A99" s="75" t="str">
        <f>'Balance Sheet'!A28</f>
        <v>Current Portion LTD-Gap Loan</v>
      </c>
      <c r="B99" s="72"/>
    </row>
    <row r="100" spans="1:2" ht="14.25">
      <c r="A100" s="75"/>
      <c r="B100" s="72"/>
    </row>
    <row r="101" spans="1:2" ht="14.25">
      <c r="A101" s="75">
        <f>'Balance Sheet'!A31</f>
        <v>0</v>
      </c>
      <c r="B101" s="72"/>
    </row>
    <row r="102" spans="1:2" ht="15">
      <c r="A102" s="78" t="str">
        <f>'Balance Sheet'!A32</f>
        <v>Long-term Liabilities</v>
      </c>
      <c r="B102" s="72"/>
    </row>
    <row r="103" spans="1:2" ht="14.25">
      <c r="A103" s="75" t="str">
        <f>'Balance Sheet'!A33</f>
        <v>Note Payable</v>
      </c>
      <c r="B103" s="72"/>
    </row>
    <row r="104" spans="1:2" ht="14.25">
      <c r="A104" s="75" t="str">
        <f>'Balance Sheet'!A34</f>
        <v>Bank Loan Payable</v>
      </c>
      <c r="B104" s="72"/>
    </row>
    <row r="105" spans="1:2" ht="14.25">
      <c r="A105" s="75" t="str">
        <f>'Balance Sheet'!A35</f>
        <v>Gap Loan Payable</v>
      </c>
      <c r="B105" s="72"/>
    </row>
    <row r="106" spans="1:2" ht="14.25">
      <c r="A106" s="75" t="str">
        <f>'Balance Sheet'!A36</f>
        <v>Other long-term debt</v>
      </c>
      <c r="B106" s="72"/>
    </row>
    <row r="107" spans="1:2" ht="14.25">
      <c r="A107" s="75"/>
      <c r="B107" s="72"/>
    </row>
    <row r="108" spans="1:2" ht="14.25">
      <c r="A108" s="75">
        <f>'Balance Sheet'!A38</f>
        <v>0</v>
      </c>
      <c r="B108" s="72"/>
    </row>
    <row r="109" spans="1:2" ht="14.25">
      <c r="A109" s="75"/>
      <c r="B109" s="72"/>
    </row>
    <row r="110" spans="1:2" ht="14.25">
      <c r="A110" s="75">
        <f>'Balance Sheet'!A40</f>
        <v>0</v>
      </c>
      <c r="B110" s="72"/>
    </row>
    <row r="111" spans="1:2" ht="28.5">
      <c r="A111" s="75" t="str">
        <f>'Balance Sheet'!A41</f>
        <v>Net Worth: Owner's Equity </v>
      </c>
      <c r="B111" s="72"/>
    </row>
    <row r="112" spans="1:2" ht="14.25">
      <c r="A112" s="75">
        <f>'Balance Sheet'!A42</f>
        <v>0</v>
      </c>
      <c r="B112" s="72"/>
    </row>
    <row r="113" spans="1:2" ht="28.5">
      <c r="A113" s="75" t="str">
        <f>'Balance Sheet'!A43</f>
        <v>Total Liabilities and Net Worth</v>
      </c>
      <c r="B113" s="72"/>
    </row>
  </sheetData>
  <sheetProtection/>
  <printOptions/>
  <pageMargins left="0.34" right="0.18" top="0.55" bottom="0.45" header="0.18" footer="0.21"/>
  <pageSetup horizontalDpi="600" verticalDpi="600" orientation="portrait" r:id="rId1"/>
  <headerFooter alignWithMargins="0">
    <oddHeader>&amp;CNotes &amp; Assumptions - Projected Financials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C7" sqref="C7"/>
    </sheetView>
  </sheetViews>
  <sheetFormatPr defaultColWidth="11.28125" defaultRowHeight="12.75"/>
  <cols>
    <col min="1" max="1" width="3.7109375" style="135" customWidth="1"/>
    <col min="2" max="2" width="15.140625" style="135" customWidth="1"/>
    <col min="3" max="3" width="14.8515625" style="135" customWidth="1"/>
    <col min="4" max="4" width="13.7109375" style="135" customWidth="1"/>
    <col min="5" max="5" width="11.28125" style="135" customWidth="1"/>
    <col min="6" max="6" width="16.00390625" style="135" customWidth="1"/>
    <col min="7" max="7" width="14.00390625" style="135" customWidth="1"/>
    <col min="8" max="8" width="2.421875" style="135" customWidth="1"/>
    <col min="9" max="10" width="5.8515625" style="135" customWidth="1"/>
    <col min="11" max="11" width="6.00390625" style="135" customWidth="1"/>
    <col min="12" max="16384" width="11.28125" style="135" customWidth="1"/>
  </cols>
  <sheetData>
    <row r="1" spans="1:8" s="138" customFormat="1" ht="27">
      <c r="A1" s="391" t="s">
        <v>206</v>
      </c>
      <c r="B1" s="391"/>
      <c r="C1" s="391"/>
      <c r="D1" s="391"/>
      <c r="E1" s="391"/>
      <c r="F1" s="391"/>
      <c r="G1" s="391"/>
      <c r="H1" s="137"/>
    </row>
    <row r="2" spans="1:8" ht="12.75">
      <c r="A2" s="134"/>
      <c r="B2" s="134" t="s">
        <v>176</v>
      </c>
      <c r="C2" s="134"/>
      <c r="D2" s="134"/>
      <c r="E2" s="134"/>
      <c r="F2" s="134"/>
      <c r="G2" s="134"/>
      <c r="H2" s="134"/>
    </row>
    <row r="3" spans="1:8" s="140" customFormat="1" ht="12">
      <c r="A3" s="139"/>
      <c r="B3" s="139" t="s">
        <v>177</v>
      </c>
      <c r="C3" s="139"/>
      <c r="D3" s="139"/>
      <c r="E3" s="139"/>
      <c r="F3" s="139"/>
      <c r="G3" s="139"/>
      <c r="H3" s="139"/>
    </row>
    <row r="4" spans="1:8" ht="12.75">
      <c r="A4" s="134"/>
      <c r="B4" s="134" t="s">
        <v>178</v>
      </c>
      <c r="C4" s="134"/>
      <c r="D4" s="134"/>
      <c r="E4" s="134"/>
      <c r="F4" s="134"/>
      <c r="G4" s="134"/>
      <c r="H4" s="134"/>
    </row>
    <row r="5" spans="1:9" ht="24.75">
      <c r="A5" s="392" t="s">
        <v>179</v>
      </c>
      <c r="B5" s="392"/>
      <c r="C5" s="392"/>
      <c r="D5" s="392"/>
      <c r="E5" s="392"/>
      <c r="F5" s="392"/>
      <c r="G5" s="392"/>
      <c r="H5" s="134"/>
      <c r="I5" s="141"/>
    </row>
    <row r="6" spans="1:8" ht="12.75">
      <c r="A6" s="142" t="s">
        <v>180</v>
      </c>
      <c r="B6" s="143"/>
      <c r="C6" s="144"/>
      <c r="D6" s="134"/>
      <c r="E6" s="142" t="s">
        <v>181</v>
      </c>
      <c r="F6" s="145"/>
      <c r="G6" s="145"/>
      <c r="H6" s="134"/>
    </row>
    <row r="7" spans="1:9" ht="12.75">
      <c r="A7" s="134"/>
      <c r="B7" s="146" t="s">
        <v>182</v>
      </c>
      <c r="C7" s="147"/>
      <c r="D7" s="134"/>
      <c r="E7" s="134"/>
      <c r="F7" s="146" t="s">
        <v>183</v>
      </c>
      <c r="G7" s="148"/>
      <c r="H7" s="134"/>
      <c r="I7" s="149"/>
    </row>
    <row r="8" spans="1:12" ht="12.75">
      <c r="A8" s="134"/>
      <c r="B8" s="146" t="s">
        <v>184</v>
      </c>
      <c r="C8" s="150"/>
      <c r="D8" s="134"/>
      <c r="E8" s="134"/>
      <c r="F8" s="146" t="s">
        <v>185</v>
      </c>
      <c r="G8" s="151">
        <v>1</v>
      </c>
      <c r="H8" s="134"/>
      <c r="I8" s="152"/>
      <c r="L8" s="175"/>
    </row>
    <row r="9" spans="1:12" ht="12.75">
      <c r="A9" s="134"/>
      <c r="B9" s="146" t="s">
        <v>186</v>
      </c>
      <c r="C9" s="136"/>
      <c r="D9" s="134"/>
      <c r="E9" s="134"/>
      <c r="F9" s="134"/>
      <c r="G9" s="134"/>
      <c r="H9" s="134"/>
      <c r="I9" s="149"/>
      <c r="K9" s="153"/>
      <c r="L9" s="175"/>
    </row>
    <row r="10" spans="1:8" ht="12.75">
      <c r="A10" s="134"/>
      <c r="B10" s="146" t="s">
        <v>187</v>
      </c>
      <c r="C10" s="136"/>
      <c r="D10" s="134"/>
      <c r="E10" s="134"/>
      <c r="F10" s="134"/>
      <c r="G10" s="134"/>
      <c r="H10" s="134"/>
    </row>
    <row r="11" spans="1:8" ht="12.75">
      <c r="A11" s="134"/>
      <c r="B11" s="146" t="s">
        <v>188</v>
      </c>
      <c r="C11" s="154"/>
      <c r="D11" s="393" t="s">
        <v>249</v>
      </c>
      <c r="E11" s="393"/>
      <c r="F11" s="393"/>
      <c r="G11" s="393"/>
      <c r="H11" s="134"/>
    </row>
    <row r="12" spans="1:8" ht="12.75">
      <c r="A12" s="142" t="s">
        <v>189</v>
      </c>
      <c r="B12" s="145"/>
      <c r="C12" s="145"/>
      <c r="D12" s="145"/>
      <c r="E12" s="145"/>
      <c r="F12" s="145"/>
      <c r="G12" s="145"/>
      <c r="H12" s="134"/>
    </row>
    <row r="13" spans="1:8" ht="12.75">
      <c r="A13" s="134"/>
      <c r="B13" s="146" t="s">
        <v>190</v>
      </c>
      <c r="C13" s="155">
        <v>0</v>
      </c>
      <c r="D13" s="156" t="s">
        <v>191</v>
      </c>
      <c r="E13" s="134"/>
      <c r="F13" s="134"/>
      <c r="G13" s="134"/>
      <c r="H13" s="134"/>
    </row>
    <row r="14" spans="1:8" ht="12.75">
      <c r="A14" s="134"/>
      <c r="B14" s="146" t="s">
        <v>192</v>
      </c>
      <c r="C14" s="157" t="str">
        <f>IF(C7=0," ",PMT(Periodic_rate,Total_payments,-Loan_Amount))</f>
        <v> </v>
      </c>
      <c r="D14" s="156" t="s">
        <v>193</v>
      </c>
      <c r="E14" s="134"/>
      <c r="F14" s="134"/>
      <c r="G14" s="134"/>
      <c r="H14" s="134"/>
    </row>
    <row r="15" spans="1:8" ht="12.75">
      <c r="A15" s="142" t="s">
        <v>194</v>
      </c>
      <c r="B15" s="145"/>
      <c r="C15" s="145"/>
      <c r="D15" s="145"/>
      <c r="E15" s="145"/>
      <c r="F15" s="145"/>
      <c r="G15" s="145"/>
      <c r="H15" s="134"/>
    </row>
    <row r="16" spans="1:11" ht="12.75">
      <c r="A16" s="134"/>
      <c r="B16" s="146" t="s">
        <v>195</v>
      </c>
      <c r="C16" s="158" t="str">
        <f>IF(Entered_payment=0,Calculated_payment,Entered_payment)</f>
        <v> </v>
      </c>
      <c r="D16" s="134"/>
      <c r="E16" s="134"/>
      <c r="F16" s="159" t="str">
        <f>"Beginning balance at payment "&amp;TEXT(First_payment_no,"0")&amp;":"</f>
        <v>Beginning balance at payment 1:</v>
      </c>
      <c r="G16" s="160" t="str">
        <f>IF(C7=0," ",FV(Annual_interest_rate/Payments_per_year,First_payment_no-1,Pmt_to_use,-Loan_Amount))</f>
        <v> </v>
      </c>
      <c r="H16" s="134"/>
      <c r="J16" s="161"/>
      <c r="K16" s="153"/>
    </row>
    <row r="17" spans="1:8" ht="12.75">
      <c r="A17" s="134"/>
      <c r="B17" s="146" t="s">
        <v>196</v>
      </c>
      <c r="C17" s="162">
        <f>IF(G7=0,IF(G8=0,1,G8),1+C10*(YEAR(G7)-YEAR(C11))+INT(C10*(MONTH(G7)-MONTH(C11))/12)+IF(DAY(G7)&gt;DAY(C11),1))</f>
        <v>1</v>
      </c>
      <c r="D17" s="134"/>
      <c r="E17" s="134"/>
      <c r="F17" s="159" t="str">
        <f>"Cumulative interest prior to payment "&amp;TEXT(First_payment_no,"0")&amp;":"</f>
        <v>Cumulative interest prior to payment 1:</v>
      </c>
      <c r="G17" s="160" t="str">
        <f>IF(C7=0," ",Pmt_to_use*(First_payment_no-1)-(Loan_Amount-Table_beg_bal))</f>
        <v> </v>
      </c>
      <c r="H17" s="134"/>
    </row>
    <row r="18" spans="1:8" ht="24.75">
      <c r="A18" s="392" t="s">
        <v>197</v>
      </c>
      <c r="B18" s="392"/>
      <c r="C18" s="392"/>
      <c r="D18" s="392"/>
      <c r="E18" s="392"/>
      <c r="F18" s="392"/>
      <c r="G18" s="392"/>
      <c r="H18" s="134"/>
    </row>
    <row r="19" spans="1:7" ht="12.75">
      <c r="A19" s="134"/>
      <c r="B19" s="134"/>
      <c r="C19" s="134"/>
      <c r="D19" s="163"/>
      <c r="E19" s="163"/>
      <c r="G19" s="134"/>
    </row>
    <row r="20" spans="1:7" ht="12.75">
      <c r="A20" s="164"/>
      <c r="B20" s="164" t="s">
        <v>121</v>
      </c>
      <c r="C20" s="164" t="s">
        <v>198</v>
      </c>
      <c r="D20" s="164"/>
      <c r="E20" s="164"/>
      <c r="F20" s="164" t="s">
        <v>199</v>
      </c>
      <c r="G20" s="164" t="s">
        <v>200</v>
      </c>
    </row>
    <row r="21" spans="1:9" ht="12.75">
      <c r="A21" s="165" t="s">
        <v>201</v>
      </c>
      <c r="B21" s="165" t="s">
        <v>202</v>
      </c>
      <c r="C21" s="165" t="s">
        <v>203</v>
      </c>
      <c r="D21" s="165" t="s">
        <v>22</v>
      </c>
      <c r="E21" s="165" t="s">
        <v>89</v>
      </c>
      <c r="F21" s="165" t="s">
        <v>203</v>
      </c>
      <c r="G21" s="165" t="s">
        <v>22</v>
      </c>
      <c r="I21" s="153"/>
    </row>
    <row r="22" spans="1:11" ht="12.75">
      <c r="A22" s="166">
        <f>IF(First_payment_no&lt;Total_payments,First_payment_no,"")</f>
      </c>
      <c r="B22" s="167">
        <f aca="true" t="shared" si="0" ref="B22:B85">Show.Date</f>
      </c>
      <c r="C22" s="168">
        <f>IF(A22&lt;&gt;"",IF(Table_beg_bal&lt;0,0,Table_beg_bal),"")</f>
      </c>
      <c r="D22" s="168">
        <f aca="true" t="shared" si="1" ref="D22:D85">Interest</f>
      </c>
      <c r="E22" s="168">
        <f aca="true" t="shared" si="2" ref="E22:E85">Principal</f>
      </c>
      <c r="F22" s="169">
        <f>Ending.Balance</f>
      </c>
      <c r="G22" s="169">
        <f>IF(A22&lt;&gt;"",D22+Table_prior_interest,"")</f>
      </c>
      <c r="I22" s="149"/>
      <c r="K22" s="170"/>
    </row>
    <row r="23" spans="1:7" ht="12.75">
      <c r="A23" s="166">
        <f aca="true" t="shared" si="3" ref="A23:A86">payment.Num</f>
      </c>
      <c r="B23" s="167">
        <f t="shared" si="0"/>
      </c>
      <c r="C23" s="169">
        <f>Beg.Bal</f>
      </c>
      <c r="D23" s="168">
        <f t="shared" si="1"/>
      </c>
      <c r="E23" s="168">
        <f t="shared" si="2"/>
      </c>
      <c r="F23" s="169">
        <f aca="true" t="shared" si="4" ref="F23:F85">Ending.Balance</f>
      </c>
      <c r="G23" s="169">
        <f aca="true" t="shared" si="5" ref="G23:G86">Cum.Interest</f>
      </c>
    </row>
    <row r="24" spans="1:10" ht="12.75">
      <c r="A24" s="166">
        <f t="shared" si="3"/>
      </c>
      <c r="B24" s="167">
        <f t="shared" si="0"/>
      </c>
      <c r="C24" s="169">
        <f aca="true" t="shared" si="6" ref="C24:C86">Beg.Bal</f>
      </c>
      <c r="D24" s="168">
        <f t="shared" si="1"/>
      </c>
      <c r="E24" s="168">
        <f t="shared" si="2"/>
      </c>
      <c r="F24" s="168">
        <f t="shared" si="4"/>
      </c>
      <c r="G24" s="169">
        <f t="shared" si="5"/>
      </c>
      <c r="J24" s="149"/>
    </row>
    <row r="25" spans="1:7" ht="12.75">
      <c r="A25" s="171">
        <f t="shared" si="3"/>
      </c>
      <c r="B25" s="172">
        <f t="shared" si="0"/>
      </c>
      <c r="C25" s="173">
        <f t="shared" si="6"/>
      </c>
      <c r="D25" s="174">
        <f t="shared" si="1"/>
      </c>
      <c r="E25" s="174">
        <f t="shared" si="2"/>
      </c>
      <c r="F25" s="174">
        <f t="shared" si="4"/>
      </c>
      <c r="G25" s="173">
        <f t="shared" si="5"/>
      </c>
    </row>
    <row r="26" spans="1:7" ht="12.75">
      <c r="A26" s="171">
        <f t="shared" si="3"/>
      </c>
      <c r="B26" s="172">
        <f t="shared" si="0"/>
      </c>
      <c r="C26" s="173">
        <f t="shared" si="6"/>
      </c>
      <c r="D26" s="174">
        <f t="shared" si="1"/>
      </c>
      <c r="E26" s="174">
        <f t="shared" si="2"/>
      </c>
      <c r="F26" s="174">
        <f t="shared" si="4"/>
      </c>
      <c r="G26" s="173">
        <f t="shared" si="5"/>
      </c>
    </row>
    <row r="27" spans="1:7" ht="12.75">
      <c r="A27" s="171">
        <f t="shared" si="3"/>
      </c>
      <c r="B27" s="172">
        <f t="shared" si="0"/>
      </c>
      <c r="C27" s="173">
        <f t="shared" si="6"/>
      </c>
      <c r="D27" s="174">
        <f t="shared" si="1"/>
      </c>
      <c r="E27" s="174">
        <f t="shared" si="2"/>
      </c>
      <c r="F27" s="174">
        <f t="shared" si="4"/>
      </c>
      <c r="G27" s="173">
        <f t="shared" si="5"/>
      </c>
    </row>
    <row r="28" spans="1:7" ht="12.75">
      <c r="A28" s="171">
        <f t="shared" si="3"/>
      </c>
      <c r="B28" s="172">
        <f t="shared" si="0"/>
      </c>
      <c r="C28" s="173">
        <f t="shared" si="6"/>
      </c>
      <c r="D28" s="174">
        <f t="shared" si="1"/>
      </c>
      <c r="E28" s="174">
        <f t="shared" si="2"/>
      </c>
      <c r="F28" s="174">
        <f t="shared" si="4"/>
      </c>
      <c r="G28" s="173">
        <f t="shared" si="5"/>
      </c>
    </row>
    <row r="29" spans="1:7" ht="12.75">
      <c r="A29" s="171">
        <f t="shared" si="3"/>
      </c>
      <c r="B29" s="172">
        <f t="shared" si="0"/>
      </c>
      <c r="C29" s="173">
        <f t="shared" si="6"/>
      </c>
      <c r="D29" s="174">
        <f t="shared" si="1"/>
      </c>
      <c r="E29" s="174">
        <f t="shared" si="2"/>
      </c>
      <c r="F29" s="174">
        <f t="shared" si="4"/>
      </c>
      <c r="G29" s="173">
        <f t="shared" si="5"/>
      </c>
    </row>
    <row r="30" spans="1:7" ht="12.75">
      <c r="A30" s="171">
        <f t="shared" si="3"/>
      </c>
      <c r="B30" s="172">
        <f t="shared" si="0"/>
      </c>
      <c r="C30" s="173">
        <f t="shared" si="6"/>
      </c>
      <c r="D30" s="174">
        <f t="shared" si="1"/>
      </c>
      <c r="E30" s="174">
        <f t="shared" si="2"/>
      </c>
      <c r="F30" s="174">
        <f t="shared" si="4"/>
      </c>
      <c r="G30" s="173">
        <f t="shared" si="5"/>
      </c>
    </row>
    <row r="31" spans="1:7" ht="12.75">
      <c r="A31" s="171">
        <f t="shared" si="3"/>
      </c>
      <c r="B31" s="172">
        <f t="shared" si="0"/>
      </c>
      <c r="C31" s="173">
        <f t="shared" si="6"/>
      </c>
      <c r="D31" s="174">
        <f t="shared" si="1"/>
      </c>
      <c r="E31" s="174">
        <f t="shared" si="2"/>
      </c>
      <c r="F31" s="174">
        <f t="shared" si="4"/>
      </c>
      <c r="G31" s="173">
        <f t="shared" si="5"/>
      </c>
    </row>
    <row r="32" spans="1:7" ht="12.75">
      <c r="A32" s="171">
        <f t="shared" si="3"/>
      </c>
      <c r="B32" s="172">
        <f t="shared" si="0"/>
      </c>
      <c r="C32" s="173">
        <f t="shared" si="6"/>
      </c>
      <c r="D32" s="174">
        <f t="shared" si="1"/>
      </c>
      <c r="E32" s="174">
        <f t="shared" si="2"/>
      </c>
      <c r="F32" s="174">
        <f t="shared" si="4"/>
      </c>
      <c r="G32" s="173">
        <f t="shared" si="5"/>
      </c>
    </row>
    <row r="33" spans="1:7" ht="12.75">
      <c r="A33" s="171">
        <f t="shared" si="3"/>
      </c>
      <c r="B33" s="172">
        <f t="shared" si="0"/>
      </c>
      <c r="C33" s="173">
        <f t="shared" si="6"/>
      </c>
      <c r="D33" s="174">
        <f t="shared" si="1"/>
      </c>
      <c r="E33" s="174">
        <f t="shared" si="2"/>
      </c>
      <c r="F33" s="174">
        <f t="shared" si="4"/>
      </c>
      <c r="G33" s="174">
        <f t="shared" si="5"/>
      </c>
    </row>
    <row r="34" spans="1:7" ht="12.75">
      <c r="A34" s="171">
        <f t="shared" si="3"/>
      </c>
      <c r="B34" s="172">
        <f t="shared" si="0"/>
      </c>
      <c r="C34" s="173">
        <f t="shared" si="6"/>
      </c>
      <c r="D34" s="174">
        <f t="shared" si="1"/>
      </c>
      <c r="E34" s="174">
        <f t="shared" si="2"/>
      </c>
      <c r="F34" s="174">
        <f t="shared" si="4"/>
      </c>
      <c r="G34" s="174">
        <f t="shared" si="5"/>
      </c>
    </row>
    <row r="35" spans="1:7" ht="12.75">
      <c r="A35" s="171">
        <f t="shared" si="3"/>
      </c>
      <c r="B35" s="172">
        <f t="shared" si="0"/>
      </c>
      <c r="C35" s="173">
        <f t="shared" si="6"/>
      </c>
      <c r="D35" s="174">
        <f t="shared" si="1"/>
      </c>
      <c r="E35" s="174">
        <f t="shared" si="2"/>
      </c>
      <c r="F35" s="174">
        <f t="shared" si="4"/>
      </c>
      <c r="G35" s="174">
        <f t="shared" si="5"/>
      </c>
    </row>
    <row r="36" spans="1:7" ht="12.75">
      <c r="A36" s="171">
        <f t="shared" si="3"/>
      </c>
      <c r="B36" s="172">
        <f t="shared" si="0"/>
      </c>
      <c r="C36" s="173">
        <f t="shared" si="6"/>
      </c>
      <c r="D36" s="174">
        <f t="shared" si="1"/>
      </c>
      <c r="E36" s="174">
        <f t="shared" si="2"/>
      </c>
      <c r="F36" s="174">
        <f t="shared" si="4"/>
      </c>
      <c r="G36" s="174">
        <f t="shared" si="5"/>
      </c>
    </row>
    <row r="37" spans="1:7" ht="12.75">
      <c r="A37" s="171">
        <f t="shared" si="3"/>
      </c>
      <c r="B37" s="172">
        <f t="shared" si="0"/>
      </c>
      <c r="C37" s="173">
        <f t="shared" si="6"/>
      </c>
      <c r="D37" s="174">
        <f t="shared" si="1"/>
      </c>
      <c r="E37" s="174">
        <f t="shared" si="2"/>
      </c>
      <c r="F37" s="174">
        <f t="shared" si="4"/>
      </c>
      <c r="G37" s="174">
        <f t="shared" si="5"/>
      </c>
    </row>
    <row r="38" spans="1:7" ht="12.75">
      <c r="A38" s="171">
        <f t="shared" si="3"/>
      </c>
      <c r="B38" s="172">
        <f t="shared" si="0"/>
      </c>
      <c r="C38" s="173">
        <f t="shared" si="6"/>
      </c>
      <c r="D38" s="174">
        <f t="shared" si="1"/>
      </c>
      <c r="E38" s="174">
        <f t="shared" si="2"/>
      </c>
      <c r="F38" s="174">
        <f t="shared" si="4"/>
      </c>
      <c r="G38" s="174">
        <f t="shared" si="5"/>
      </c>
    </row>
    <row r="39" spans="1:7" ht="12.75">
      <c r="A39" s="171">
        <f t="shared" si="3"/>
      </c>
      <c r="B39" s="172">
        <f t="shared" si="0"/>
      </c>
      <c r="C39" s="173">
        <f t="shared" si="6"/>
      </c>
      <c r="D39" s="174">
        <f t="shared" si="1"/>
      </c>
      <c r="E39" s="174">
        <f t="shared" si="2"/>
      </c>
      <c r="F39" s="174">
        <f t="shared" si="4"/>
      </c>
      <c r="G39" s="174">
        <f t="shared" si="5"/>
      </c>
    </row>
    <row r="40" spans="1:7" ht="12.75">
      <c r="A40" s="171">
        <f t="shared" si="3"/>
      </c>
      <c r="B40" s="172">
        <f t="shared" si="0"/>
      </c>
      <c r="C40" s="173">
        <f t="shared" si="6"/>
      </c>
      <c r="D40" s="174">
        <f t="shared" si="1"/>
      </c>
      <c r="E40" s="174">
        <f t="shared" si="2"/>
      </c>
      <c r="F40" s="174">
        <f t="shared" si="4"/>
      </c>
      <c r="G40" s="174">
        <f t="shared" si="5"/>
      </c>
    </row>
    <row r="41" spans="1:7" ht="12.75">
      <c r="A41" s="171">
        <f t="shared" si="3"/>
      </c>
      <c r="B41" s="172">
        <f t="shared" si="0"/>
      </c>
      <c r="C41" s="173">
        <f t="shared" si="6"/>
      </c>
      <c r="D41" s="174">
        <f t="shared" si="1"/>
      </c>
      <c r="E41" s="174">
        <f t="shared" si="2"/>
      </c>
      <c r="F41" s="174">
        <f t="shared" si="4"/>
      </c>
      <c r="G41" s="174">
        <f t="shared" si="5"/>
      </c>
    </row>
    <row r="42" spans="1:7" ht="12.75">
      <c r="A42" s="171">
        <f t="shared" si="3"/>
      </c>
      <c r="B42" s="172">
        <f t="shared" si="0"/>
      </c>
      <c r="C42" s="173">
        <f t="shared" si="6"/>
      </c>
      <c r="D42" s="174">
        <f t="shared" si="1"/>
      </c>
      <c r="E42" s="174">
        <f t="shared" si="2"/>
      </c>
      <c r="F42" s="174">
        <f t="shared" si="4"/>
      </c>
      <c r="G42" s="174">
        <f t="shared" si="5"/>
      </c>
    </row>
    <row r="43" spans="1:7" ht="12.75">
      <c r="A43" s="171">
        <f t="shared" si="3"/>
      </c>
      <c r="B43" s="172">
        <f t="shared" si="0"/>
      </c>
      <c r="C43" s="173">
        <f t="shared" si="6"/>
      </c>
      <c r="D43" s="174">
        <f t="shared" si="1"/>
      </c>
      <c r="E43" s="174">
        <f t="shared" si="2"/>
      </c>
      <c r="F43" s="174">
        <f t="shared" si="4"/>
      </c>
      <c r="G43" s="174">
        <f t="shared" si="5"/>
      </c>
    </row>
    <row r="44" spans="1:7" ht="12.75">
      <c r="A44" s="171">
        <f t="shared" si="3"/>
      </c>
      <c r="B44" s="172">
        <f t="shared" si="0"/>
      </c>
      <c r="C44" s="173">
        <f t="shared" si="6"/>
      </c>
      <c r="D44" s="174">
        <f t="shared" si="1"/>
      </c>
      <c r="E44" s="174">
        <f t="shared" si="2"/>
      </c>
      <c r="F44" s="174">
        <f t="shared" si="4"/>
      </c>
      <c r="G44" s="174">
        <f t="shared" si="5"/>
      </c>
    </row>
    <row r="45" spans="1:7" ht="12.75">
      <c r="A45" s="171">
        <f t="shared" si="3"/>
      </c>
      <c r="B45" s="172">
        <f t="shared" si="0"/>
      </c>
      <c r="C45" s="173">
        <f t="shared" si="6"/>
      </c>
      <c r="D45" s="174">
        <f t="shared" si="1"/>
      </c>
      <c r="E45" s="174">
        <f t="shared" si="2"/>
      </c>
      <c r="F45" s="174">
        <f t="shared" si="4"/>
      </c>
      <c r="G45" s="174">
        <f t="shared" si="5"/>
      </c>
    </row>
    <row r="46" spans="1:7" ht="12.75">
      <c r="A46" s="171">
        <f t="shared" si="3"/>
      </c>
      <c r="B46" s="172">
        <f t="shared" si="0"/>
      </c>
      <c r="C46" s="173">
        <f t="shared" si="6"/>
      </c>
      <c r="D46" s="174">
        <f t="shared" si="1"/>
      </c>
      <c r="E46" s="174">
        <f t="shared" si="2"/>
      </c>
      <c r="F46" s="174">
        <f t="shared" si="4"/>
      </c>
      <c r="G46" s="174">
        <f t="shared" si="5"/>
      </c>
    </row>
    <row r="47" spans="1:7" ht="12.75">
      <c r="A47" s="171">
        <f t="shared" si="3"/>
      </c>
      <c r="B47" s="172">
        <f t="shared" si="0"/>
      </c>
      <c r="C47" s="173">
        <f t="shared" si="6"/>
      </c>
      <c r="D47" s="174">
        <f t="shared" si="1"/>
      </c>
      <c r="E47" s="174">
        <f t="shared" si="2"/>
      </c>
      <c r="F47" s="174">
        <f t="shared" si="4"/>
      </c>
      <c r="G47" s="174">
        <f t="shared" si="5"/>
      </c>
    </row>
    <row r="48" spans="1:7" ht="12.75">
      <c r="A48" s="171">
        <f t="shared" si="3"/>
      </c>
      <c r="B48" s="172">
        <f t="shared" si="0"/>
      </c>
      <c r="C48" s="173">
        <f t="shared" si="6"/>
      </c>
      <c r="D48" s="174">
        <f t="shared" si="1"/>
      </c>
      <c r="E48" s="174">
        <f t="shared" si="2"/>
      </c>
      <c r="F48" s="174">
        <f t="shared" si="4"/>
      </c>
      <c r="G48" s="174">
        <f t="shared" si="5"/>
      </c>
    </row>
    <row r="49" spans="1:7" ht="12.75">
      <c r="A49" s="171">
        <f t="shared" si="3"/>
      </c>
      <c r="B49" s="172">
        <f t="shared" si="0"/>
      </c>
      <c r="C49" s="173">
        <f t="shared" si="6"/>
      </c>
      <c r="D49" s="174">
        <f t="shared" si="1"/>
      </c>
      <c r="E49" s="174">
        <f t="shared" si="2"/>
      </c>
      <c r="F49" s="174">
        <f t="shared" si="4"/>
      </c>
      <c r="G49" s="174">
        <f t="shared" si="5"/>
      </c>
    </row>
    <row r="50" spans="1:7" ht="12.75">
      <c r="A50" s="171">
        <f t="shared" si="3"/>
      </c>
      <c r="B50" s="172">
        <f t="shared" si="0"/>
      </c>
      <c r="C50" s="173">
        <f t="shared" si="6"/>
      </c>
      <c r="D50" s="174">
        <f t="shared" si="1"/>
      </c>
      <c r="E50" s="174">
        <f t="shared" si="2"/>
      </c>
      <c r="F50" s="174">
        <f t="shared" si="4"/>
      </c>
      <c r="G50" s="174">
        <f t="shared" si="5"/>
      </c>
    </row>
    <row r="51" spans="1:7" ht="12.75">
      <c r="A51" s="171">
        <f t="shared" si="3"/>
      </c>
      <c r="B51" s="172">
        <f t="shared" si="0"/>
      </c>
      <c r="C51" s="173">
        <f t="shared" si="6"/>
      </c>
      <c r="D51" s="174">
        <f t="shared" si="1"/>
      </c>
      <c r="E51" s="174">
        <f t="shared" si="2"/>
      </c>
      <c r="F51" s="174">
        <f t="shared" si="4"/>
      </c>
      <c r="G51" s="174">
        <f t="shared" si="5"/>
      </c>
    </row>
    <row r="52" spans="1:7" ht="12.75">
      <c r="A52" s="171">
        <f t="shared" si="3"/>
      </c>
      <c r="B52" s="172">
        <f t="shared" si="0"/>
      </c>
      <c r="C52" s="173">
        <f t="shared" si="6"/>
      </c>
      <c r="D52" s="174">
        <f t="shared" si="1"/>
      </c>
      <c r="E52" s="174">
        <f t="shared" si="2"/>
      </c>
      <c r="F52" s="174">
        <f t="shared" si="4"/>
      </c>
      <c r="G52" s="174">
        <f t="shared" si="5"/>
      </c>
    </row>
    <row r="53" spans="1:7" ht="12.75">
      <c r="A53" s="171">
        <f t="shared" si="3"/>
      </c>
      <c r="B53" s="172">
        <f t="shared" si="0"/>
      </c>
      <c r="C53" s="173">
        <f t="shared" si="6"/>
      </c>
      <c r="D53" s="174">
        <f t="shared" si="1"/>
      </c>
      <c r="E53" s="174">
        <f t="shared" si="2"/>
      </c>
      <c r="F53" s="174">
        <f t="shared" si="4"/>
      </c>
      <c r="G53" s="174">
        <f t="shared" si="5"/>
      </c>
    </row>
    <row r="54" spans="1:7" ht="12.75">
      <c r="A54" s="171">
        <f t="shared" si="3"/>
      </c>
      <c r="B54" s="172">
        <f t="shared" si="0"/>
      </c>
      <c r="C54" s="173">
        <f t="shared" si="6"/>
      </c>
      <c r="D54" s="174">
        <f t="shared" si="1"/>
      </c>
      <c r="E54" s="174">
        <f t="shared" si="2"/>
      </c>
      <c r="F54" s="174">
        <f t="shared" si="4"/>
      </c>
      <c r="G54" s="174">
        <f t="shared" si="5"/>
      </c>
    </row>
    <row r="55" spans="1:7" ht="12.75">
      <c r="A55" s="171">
        <f t="shared" si="3"/>
      </c>
      <c r="B55" s="172">
        <f t="shared" si="0"/>
      </c>
      <c r="C55" s="173">
        <f t="shared" si="6"/>
      </c>
      <c r="D55" s="174">
        <f t="shared" si="1"/>
      </c>
      <c r="E55" s="174">
        <f t="shared" si="2"/>
      </c>
      <c r="F55" s="174">
        <f t="shared" si="4"/>
      </c>
      <c r="G55" s="174">
        <f t="shared" si="5"/>
      </c>
    </row>
    <row r="56" spans="1:7" ht="12.75">
      <c r="A56" s="171">
        <f t="shared" si="3"/>
      </c>
      <c r="B56" s="172">
        <f t="shared" si="0"/>
      </c>
      <c r="C56" s="173">
        <f t="shared" si="6"/>
      </c>
      <c r="D56" s="174">
        <f t="shared" si="1"/>
      </c>
      <c r="E56" s="174">
        <f t="shared" si="2"/>
      </c>
      <c r="F56" s="174">
        <f t="shared" si="4"/>
      </c>
      <c r="G56" s="174">
        <f t="shared" si="5"/>
      </c>
    </row>
    <row r="57" spans="1:7" ht="12.75">
      <c r="A57" s="171">
        <f t="shared" si="3"/>
      </c>
      <c r="B57" s="172">
        <f t="shared" si="0"/>
      </c>
      <c r="C57" s="173">
        <f t="shared" si="6"/>
      </c>
      <c r="D57" s="174">
        <f t="shared" si="1"/>
      </c>
      <c r="E57" s="174">
        <f t="shared" si="2"/>
      </c>
      <c r="F57" s="174">
        <f t="shared" si="4"/>
      </c>
      <c r="G57" s="174">
        <f t="shared" si="5"/>
      </c>
    </row>
    <row r="58" spans="1:7" ht="12.75">
      <c r="A58" s="171">
        <f t="shared" si="3"/>
      </c>
      <c r="B58" s="172">
        <f t="shared" si="0"/>
      </c>
      <c r="C58" s="173">
        <f t="shared" si="6"/>
      </c>
      <c r="D58" s="174">
        <f t="shared" si="1"/>
      </c>
      <c r="E58" s="174">
        <f t="shared" si="2"/>
      </c>
      <c r="F58" s="174">
        <f t="shared" si="4"/>
      </c>
      <c r="G58" s="174">
        <f t="shared" si="5"/>
      </c>
    </row>
    <row r="59" spans="1:7" ht="12.75">
      <c r="A59" s="171">
        <f t="shared" si="3"/>
      </c>
      <c r="B59" s="172">
        <f t="shared" si="0"/>
      </c>
      <c r="C59" s="173">
        <f t="shared" si="6"/>
      </c>
      <c r="D59" s="174">
        <f t="shared" si="1"/>
      </c>
      <c r="E59" s="174">
        <f t="shared" si="2"/>
      </c>
      <c r="F59" s="174">
        <f t="shared" si="4"/>
      </c>
      <c r="G59" s="174">
        <f t="shared" si="5"/>
      </c>
    </row>
    <row r="60" spans="1:7" ht="12.75">
      <c r="A60" s="171">
        <f t="shared" si="3"/>
      </c>
      <c r="B60" s="172">
        <f t="shared" si="0"/>
      </c>
      <c r="C60" s="173">
        <f t="shared" si="6"/>
      </c>
      <c r="D60" s="174">
        <f t="shared" si="1"/>
      </c>
      <c r="E60" s="174">
        <f t="shared" si="2"/>
      </c>
      <c r="F60" s="174">
        <f t="shared" si="4"/>
      </c>
      <c r="G60" s="174">
        <f t="shared" si="5"/>
      </c>
    </row>
    <row r="61" spans="1:7" ht="12.75">
      <c r="A61" s="171">
        <f t="shared" si="3"/>
      </c>
      <c r="B61" s="172">
        <f t="shared" si="0"/>
      </c>
      <c r="C61" s="173">
        <f t="shared" si="6"/>
      </c>
      <c r="D61" s="174">
        <f t="shared" si="1"/>
      </c>
      <c r="E61" s="174">
        <f t="shared" si="2"/>
      </c>
      <c r="F61" s="174">
        <f t="shared" si="4"/>
      </c>
      <c r="G61" s="174">
        <f t="shared" si="5"/>
      </c>
    </row>
    <row r="62" spans="1:7" ht="12.75">
      <c r="A62" s="171">
        <f t="shared" si="3"/>
      </c>
      <c r="B62" s="172">
        <f t="shared" si="0"/>
      </c>
      <c r="C62" s="173">
        <f t="shared" si="6"/>
      </c>
      <c r="D62" s="174">
        <f t="shared" si="1"/>
      </c>
      <c r="E62" s="174">
        <f t="shared" si="2"/>
      </c>
      <c r="F62" s="174">
        <f t="shared" si="4"/>
      </c>
      <c r="G62" s="174">
        <f t="shared" si="5"/>
      </c>
    </row>
    <row r="63" spans="1:7" ht="12.75">
      <c r="A63" s="171">
        <f t="shared" si="3"/>
      </c>
      <c r="B63" s="172">
        <f t="shared" si="0"/>
      </c>
      <c r="C63" s="173">
        <f t="shared" si="6"/>
      </c>
      <c r="D63" s="174">
        <f t="shared" si="1"/>
      </c>
      <c r="E63" s="174">
        <f t="shared" si="2"/>
      </c>
      <c r="F63" s="174">
        <f t="shared" si="4"/>
      </c>
      <c r="G63" s="174">
        <f t="shared" si="5"/>
      </c>
    </row>
    <row r="64" spans="1:7" ht="12.75">
      <c r="A64" s="171">
        <f t="shared" si="3"/>
      </c>
      <c r="B64" s="172">
        <f t="shared" si="0"/>
      </c>
      <c r="C64" s="173">
        <f t="shared" si="6"/>
      </c>
      <c r="D64" s="174">
        <f t="shared" si="1"/>
      </c>
      <c r="E64" s="174">
        <f t="shared" si="2"/>
      </c>
      <c r="F64" s="174">
        <f t="shared" si="4"/>
      </c>
      <c r="G64" s="174">
        <f t="shared" si="5"/>
      </c>
    </row>
    <row r="65" spans="1:7" ht="12.75">
      <c r="A65" s="171">
        <f t="shared" si="3"/>
      </c>
      <c r="B65" s="172">
        <f t="shared" si="0"/>
      </c>
      <c r="C65" s="173">
        <f t="shared" si="6"/>
      </c>
      <c r="D65" s="174">
        <f t="shared" si="1"/>
      </c>
      <c r="E65" s="174">
        <f t="shared" si="2"/>
      </c>
      <c r="F65" s="174">
        <f t="shared" si="4"/>
      </c>
      <c r="G65" s="174">
        <f t="shared" si="5"/>
      </c>
    </row>
    <row r="66" spans="1:7" ht="12.75">
      <c r="A66" s="171">
        <f t="shared" si="3"/>
      </c>
      <c r="B66" s="172">
        <f t="shared" si="0"/>
      </c>
      <c r="C66" s="173">
        <f t="shared" si="6"/>
      </c>
      <c r="D66" s="174">
        <f t="shared" si="1"/>
      </c>
      <c r="E66" s="174">
        <f t="shared" si="2"/>
      </c>
      <c r="F66" s="174">
        <f t="shared" si="4"/>
      </c>
      <c r="G66" s="174">
        <f t="shared" si="5"/>
      </c>
    </row>
    <row r="67" spans="1:7" ht="12.75">
      <c r="A67" s="171">
        <f t="shared" si="3"/>
      </c>
      <c r="B67" s="172">
        <f t="shared" si="0"/>
      </c>
      <c r="C67" s="173">
        <f t="shared" si="6"/>
      </c>
      <c r="D67" s="174">
        <f t="shared" si="1"/>
      </c>
      <c r="E67" s="174">
        <f t="shared" si="2"/>
      </c>
      <c r="F67" s="174">
        <f t="shared" si="4"/>
      </c>
      <c r="G67" s="174">
        <f t="shared" si="5"/>
      </c>
    </row>
    <row r="68" spans="1:7" ht="12.75">
      <c r="A68" s="171">
        <f t="shared" si="3"/>
      </c>
      <c r="B68" s="172">
        <f t="shared" si="0"/>
      </c>
      <c r="C68" s="173">
        <f t="shared" si="6"/>
      </c>
      <c r="D68" s="174">
        <f t="shared" si="1"/>
      </c>
      <c r="E68" s="174">
        <f t="shared" si="2"/>
      </c>
      <c r="F68" s="174">
        <f t="shared" si="4"/>
      </c>
      <c r="G68" s="174">
        <f t="shared" si="5"/>
      </c>
    </row>
    <row r="69" spans="1:7" ht="12.75">
      <c r="A69" s="171">
        <f t="shared" si="3"/>
      </c>
      <c r="B69" s="172">
        <f t="shared" si="0"/>
      </c>
      <c r="C69" s="173">
        <f t="shared" si="6"/>
      </c>
      <c r="D69" s="174">
        <f t="shared" si="1"/>
      </c>
      <c r="E69" s="174">
        <f t="shared" si="2"/>
      </c>
      <c r="F69" s="174">
        <f t="shared" si="4"/>
      </c>
      <c r="G69" s="174">
        <f t="shared" si="5"/>
      </c>
    </row>
    <row r="70" spans="1:7" ht="12.75">
      <c r="A70" s="171">
        <f t="shared" si="3"/>
      </c>
      <c r="B70" s="172">
        <f t="shared" si="0"/>
      </c>
      <c r="C70" s="173">
        <f t="shared" si="6"/>
      </c>
      <c r="D70" s="174">
        <f t="shared" si="1"/>
      </c>
      <c r="E70" s="174">
        <f t="shared" si="2"/>
      </c>
      <c r="F70" s="174">
        <f t="shared" si="4"/>
      </c>
      <c r="G70" s="174">
        <f t="shared" si="5"/>
      </c>
    </row>
    <row r="71" spans="1:7" ht="12.75">
      <c r="A71" s="171">
        <f t="shared" si="3"/>
      </c>
      <c r="B71" s="172">
        <f t="shared" si="0"/>
      </c>
      <c r="C71" s="173">
        <f t="shared" si="6"/>
      </c>
      <c r="D71" s="174">
        <f t="shared" si="1"/>
      </c>
      <c r="E71" s="174">
        <f t="shared" si="2"/>
      </c>
      <c r="F71" s="174">
        <f t="shared" si="4"/>
      </c>
      <c r="G71" s="174">
        <f t="shared" si="5"/>
      </c>
    </row>
    <row r="72" spans="1:7" ht="12.75">
      <c r="A72" s="171">
        <f t="shared" si="3"/>
      </c>
      <c r="B72" s="172">
        <f t="shared" si="0"/>
      </c>
      <c r="C72" s="173">
        <f t="shared" si="6"/>
      </c>
      <c r="D72" s="174">
        <f t="shared" si="1"/>
      </c>
      <c r="E72" s="174">
        <f t="shared" si="2"/>
      </c>
      <c r="F72" s="174">
        <f t="shared" si="4"/>
      </c>
      <c r="G72" s="174">
        <f t="shared" si="5"/>
      </c>
    </row>
    <row r="73" spans="1:7" ht="12.75">
      <c r="A73" s="171">
        <f t="shared" si="3"/>
      </c>
      <c r="B73" s="172">
        <f t="shared" si="0"/>
      </c>
      <c r="C73" s="173">
        <f t="shared" si="6"/>
      </c>
      <c r="D73" s="174">
        <f t="shared" si="1"/>
      </c>
      <c r="E73" s="174">
        <f t="shared" si="2"/>
      </c>
      <c r="F73" s="174">
        <f t="shared" si="4"/>
      </c>
      <c r="G73" s="174">
        <f t="shared" si="5"/>
      </c>
    </row>
    <row r="74" spans="1:7" ht="12.75">
      <c r="A74" s="171">
        <f t="shared" si="3"/>
      </c>
      <c r="B74" s="172">
        <f t="shared" si="0"/>
      </c>
      <c r="C74" s="173">
        <f t="shared" si="6"/>
      </c>
      <c r="D74" s="174">
        <f t="shared" si="1"/>
      </c>
      <c r="E74" s="174">
        <f t="shared" si="2"/>
      </c>
      <c r="F74" s="174">
        <f t="shared" si="4"/>
      </c>
      <c r="G74" s="174">
        <f t="shared" si="5"/>
      </c>
    </row>
    <row r="75" spans="1:7" ht="12.75">
      <c r="A75" s="171">
        <f t="shared" si="3"/>
      </c>
      <c r="B75" s="172">
        <f t="shared" si="0"/>
      </c>
      <c r="C75" s="173">
        <f t="shared" si="6"/>
      </c>
      <c r="D75" s="174">
        <f t="shared" si="1"/>
      </c>
      <c r="E75" s="174">
        <f t="shared" si="2"/>
      </c>
      <c r="F75" s="174">
        <f t="shared" si="4"/>
      </c>
      <c r="G75" s="174">
        <f t="shared" si="5"/>
      </c>
    </row>
    <row r="76" spans="1:7" ht="12.75">
      <c r="A76" s="171">
        <f t="shared" si="3"/>
      </c>
      <c r="B76" s="172">
        <f t="shared" si="0"/>
      </c>
      <c r="C76" s="173">
        <f t="shared" si="6"/>
      </c>
      <c r="D76" s="174">
        <f t="shared" si="1"/>
      </c>
      <c r="E76" s="174">
        <f t="shared" si="2"/>
      </c>
      <c r="F76" s="174">
        <f t="shared" si="4"/>
      </c>
      <c r="G76" s="174">
        <f t="shared" si="5"/>
      </c>
    </row>
    <row r="77" spans="1:7" ht="12.75">
      <c r="A77" s="171">
        <f t="shared" si="3"/>
      </c>
      <c r="B77" s="172">
        <f t="shared" si="0"/>
      </c>
      <c r="C77" s="173">
        <f t="shared" si="6"/>
      </c>
      <c r="D77" s="174">
        <f t="shared" si="1"/>
      </c>
      <c r="E77" s="174">
        <f t="shared" si="2"/>
      </c>
      <c r="F77" s="174">
        <f t="shared" si="4"/>
      </c>
      <c r="G77" s="174">
        <f t="shared" si="5"/>
      </c>
    </row>
    <row r="78" spans="1:7" ht="12.75">
      <c r="A78" s="171">
        <f t="shared" si="3"/>
      </c>
      <c r="B78" s="172">
        <f t="shared" si="0"/>
      </c>
      <c r="C78" s="173">
        <f t="shared" si="6"/>
      </c>
      <c r="D78" s="174">
        <f t="shared" si="1"/>
      </c>
      <c r="E78" s="174">
        <f t="shared" si="2"/>
      </c>
      <c r="F78" s="174">
        <f t="shared" si="4"/>
      </c>
      <c r="G78" s="174">
        <f t="shared" si="5"/>
      </c>
    </row>
    <row r="79" spans="1:7" ht="12.75">
      <c r="A79" s="171">
        <f t="shared" si="3"/>
      </c>
      <c r="B79" s="172">
        <f t="shared" si="0"/>
      </c>
      <c r="C79" s="173">
        <f t="shared" si="6"/>
      </c>
      <c r="D79" s="174">
        <f t="shared" si="1"/>
      </c>
      <c r="E79" s="174">
        <f t="shared" si="2"/>
      </c>
      <c r="F79" s="174">
        <f t="shared" si="4"/>
      </c>
      <c r="G79" s="174">
        <f t="shared" si="5"/>
      </c>
    </row>
    <row r="80" spans="1:7" ht="12.75">
      <c r="A80" s="171">
        <f t="shared" si="3"/>
      </c>
      <c r="B80" s="172">
        <f t="shared" si="0"/>
      </c>
      <c r="C80" s="173">
        <f t="shared" si="6"/>
      </c>
      <c r="D80" s="174">
        <f t="shared" si="1"/>
      </c>
      <c r="E80" s="174">
        <f t="shared" si="2"/>
      </c>
      <c r="F80" s="174">
        <f t="shared" si="4"/>
      </c>
      <c r="G80" s="174">
        <f t="shared" si="5"/>
      </c>
    </row>
    <row r="81" spans="1:7" ht="12.75">
      <c r="A81" s="171">
        <f t="shared" si="3"/>
      </c>
      <c r="B81" s="172">
        <f t="shared" si="0"/>
      </c>
      <c r="C81" s="173">
        <f t="shared" si="6"/>
      </c>
      <c r="D81" s="174">
        <f t="shared" si="1"/>
      </c>
      <c r="E81" s="174">
        <f t="shared" si="2"/>
      </c>
      <c r="F81" s="174">
        <f t="shared" si="4"/>
      </c>
      <c r="G81" s="174">
        <f t="shared" si="5"/>
      </c>
    </row>
    <row r="82" spans="1:7" ht="12.75">
      <c r="A82" s="171">
        <f t="shared" si="3"/>
      </c>
      <c r="B82" s="172">
        <f t="shared" si="0"/>
      </c>
      <c r="C82" s="173">
        <f t="shared" si="6"/>
      </c>
      <c r="D82" s="174">
        <f t="shared" si="1"/>
      </c>
      <c r="E82" s="174">
        <f t="shared" si="2"/>
      </c>
      <c r="F82" s="174">
        <f t="shared" si="4"/>
      </c>
      <c r="G82" s="174">
        <f t="shared" si="5"/>
      </c>
    </row>
    <row r="83" spans="1:7" ht="12.75">
      <c r="A83" s="171">
        <f t="shared" si="3"/>
      </c>
      <c r="B83" s="172">
        <f t="shared" si="0"/>
      </c>
      <c r="C83" s="173">
        <f t="shared" si="6"/>
      </c>
      <c r="D83" s="174">
        <f t="shared" si="1"/>
      </c>
      <c r="E83" s="174">
        <f t="shared" si="2"/>
      </c>
      <c r="F83" s="174">
        <f t="shared" si="4"/>
      </c>
      <c r="G83" s="174">
        <f t="shared" si="5"/>
      </c>
    </row>
    <row r="84" spans="1:7" ht="12.75">
      <c r="A84" s="171">
        <f t="shared" si="3"/>
      </c>
      <c r="B84" s="172">
        <f t="shared" si="0"/>
      </c>
      <c r="C84" s="173">
        <f t="shared" si="6"/>
      </c>
      <c r="D84" s="174">
        <f t="shared" si="1"/>
      </c>
      <c r="E84" s="174">
        <f t="shared" si="2"/>
      </c>
      <c r="F84" s="174">
        <f t="shared" si="4"/>
      </c>
      <c r="G84" s="174">
        <f t="shared" si="5"/>
      </c>
    </row>
    <row r="85" spans="1:7" ht="12.75">
      <c r="A85" s="171">
        <f t="shared" si="3"/>
      </c>
      <c r="B85" s="172">
        <f t="shared" si="0"/>
      </c>
      <c r="C85" s="173">
        <f t="shared" si="6"/>
      </c>
      <c r="D85" s="174">
        <f t="shared" si="1"/>
      </c>
      <c r="E85" s="174">
        <f t="shared" si="2"/>
      </c>
      <c r="F85" s="174">
        <f t="shared" si="4"/>
      </c>
      <c r="G85" s="174">
        <f t="shared" si="5"/>
      </c>
    </row>
    <row r="86" spans="1:7" ht="12.75">
      <c r="A86" s="171">
        <f t="shared" si="3"/>
      </c>
      <c r="B86" s="172">
        <f aca="true" t="shared" si="7" ref="B86:B105">Show.Date</f>
      </c>
      <c r="C86" s="173">
        <f t="shared" si="6"/>
      </c>
      <c r="D86" s="174">
        <f aca="true" t="shared" si="8" ref="D86:D105">Interest</f>
      </c>
      <c r="E86" s="174">
        <f aca="true" t="shared" si="9" ref="E86:E105">Principal</f>
      </c>
      <c r="F86" s="174">
        <f aca="true" t="shared" si="10" ref="F86:F105">Ending.Balance</f>
      </c>
      <c r="G86" s="174">
        <f t="shared" si="5"/>
      </c>
    </row>
    <row r="87" spans="1:7" ht="12.75">
      <c r="A87" s="171">
        <f aca="true" t="shared" si="11" ref="A87:A105">payment.Num</f>
      </c>
      <c r="B87" s="172">
        <f t="shared" si="7"/>
      </c>
      <c r="C87" s="173">
        <f aca="true" t="shared" si="12" ref="C87:C105">Beg.Bal</f>
      </c>
      <c r="D87" s="174">
        <f t="shared" si="8"/>
      </c>
      <c r="E87" s="174">
        <f t="shared" si="9"/>
      </c>
      <c r="F87" s="174">
        <f t="shared" si="10"/>
      </c>
      <c r="G87" s="174">
        <f aca="true" t="shared" si="13" ref="G87:G105">Cum.Interest</f>
      </c>
    </row>
    <row r="88" spans="1:7" ht="12.75">
      <c r="A88" s="171">
        <f t="shared" si="11"/>
      </c>
      <c r="B88" s="172">
        <f t="shared" si="7"/>
      </c>
      <c r="C88" s="173">
        <f t="shared" si="12"/>
      </c>
      <c r="D88" s="174">
        <f t="shared" si="8"/>
      </c>
      <c r="E88" s="174">
        <f t="shared" si="9"/>
      </c>
      <c r="F88" s="174">
        <f t="shared" si="10"/>
      </c>
      <c r="G88" s="174">
        <f t="shared" si="13"/>
      </c>
    </row>
    <row r="89" spans="1:7" ht="12.75">
      <c r="A89" s="171">
        <f t="shared" si="11"/>
      </c>
      <c r="B89" s="172">
        <f t="shared" si="7"/>
      </c>
      <c r="C89" s="173">
        <f t="shared" si="12"/>
      </c>
      <c r="D89" s="174">
        <f t="shared" si="8"/>
      </c>
      <c r="E89" s="174">
        <f t="shared" si="9"/>
      </c>
      <c r="F89" s="174">
        <f t="shared" si="10"/>
      </c>
      <c r="G89" s="174">
        <f t="shared" si="13"/>
      </c>
    </row>
    <row r="90" spans="1:7" ht="12.75">
      <c r="A90" s="171">
        <f t="shared" si="11"/>
      </c>
      <c r="B90" s="172">
        <f t="shared" si="7"/>
      </c>
      <c r="C90" s="173">
        <f t="shared" si="12"/>
      </c>
      <c r="D90" s="174">
        <f t="shared" si="8"/>
      </c>
      <c r="E90" s="174">
        <f t="shared" si="9"/>
      </c>
      <c r="F90" s="174">
        <f t="shared" si="10"/>
      </c>
      <c r="G90" s="174">
        <f t="shared" si="13"/>
      </c>
    </row>
    <row r="91" spans="1:7" ht="12.75">
      <c r="A91" s="171">
        <f t="shared" si="11"/>
      </c>
      <c r="B91" s="172">
        <f t="shared" si="7"/>
      </c>
      <c r="C91" s="173">
        <f t="shared" si="12"/>
      </c>
      <c r="D91" s="174">
        <f t="shared" si="8"/>
      </c>
      <c r="E91" s="174">
        <f t="shared" si="9"/>
      </c>
      <c r="F91" s="174">
        <f t="shared" si="10"/>
      </c>
      <c r="G91" s="174">
        <f t="shared" si="13"/>
      </c>
    </row>
    <row r="92" spans="1:7" ht="12.75">
      <c r="A92" s="171">
        <f t="shared" si="11"/>
      </c>
      <c r="B92" s="172">
        <f t="shared" si="7"/>
      </c>
      <c r="C92" s="173">
        <f t="shared" si="12"/>
      </c>
      <c r="D92" s="174">
        <f t="shared" si="8"/>
      </c>
      <c r="E92" s="174">
        <f t="shared" si="9"/>
      </c>
      <c r="F92" s="174">
        <f t="shared" si="10"/>
      </c>
      <c r="G92" s="174">
        <f t="shared" si="13"/>
      </c>
    </row>
    <row r="93" spans="1:7" ht="12.75">
      <c r="A93" s="171">
        <f t="shared" si="11"/>
      </c>
      <c r="B93" s="172">
        <f t="shared" si="7"/>
      </c>
      <c r="C93" s="173">
        <f t="shared" si="12"/>
      </c>
      <c r="D93" s="174">
        <f t="shared" si="8"/>
      </c>
      <c r="E93" s="174">
        <f t="shared" si="9"/>
      </c>
      <c r="F93" s="174">
        <f t="shared" si="10"/>
      </c>
      <c r="G93" s="174">
        <f t="shared" si="13"/>
      </c>
    </row>
    <row r="94" spans="1:7" ht="12.75">
      <c r="A94" s="171">
        <f t="shared" si="11"/>
      </c>
      <c r="B94" s="172">
        <f t="shared" si="7"/>
      </c>
      <c r="C94" s="173">
        <f t="shared" si="12"/>
      </c>
      <c r="D94" s="174">
        <f t="shared" si="8"/>
      </c>
      <c r="E94" s="174">
        <f t="shared" si="9"/>
      </c>
      <c r="F94" s="174">
        <f t="shared" si="10"/>
      </c>
      <c r="G94" s="174">
        <f t="shared" si="13"/>
      </c>
    </row>
    <row r="95" spans="1:7" ht="12.75">
      <c r="A95" s="171">
        <f t="shared" si="11"/>
      </c>
      <c r="B95" s="172">
        <f t="shared" si="7"/>
      </c>
      <c r="C95" s="173">
        <f t="shared" si="12"/>
      </c>
      <c r="D95" s="174">
        <f t="shared" si="8"/>
      </c>
      <c r="E95" s="174">
        <f t="shared" si="9"/>
      </c>
      <c r="F95" s="174">
        <f t="shared" si="10"/>
      </c>
      <c r="G95" s="174">
        <f t="shared" si="13"/>
      </c>
    </row>
    <row r="96" spans="1:7" ht="12.75">
      <c r="A96" s="171">
        <f t="shared" si="11"/>
      </c>
      <c r="B96" s="172">
        <f t="shared" si="7"/>
      </c>
      <c r="C96" s="173">
        <f t="shared" si="12"/>
      </c>
      <c r="D96" s="174">
        <f t="shared" si="8"/>
      </c>
      <c r="E96" s="174">
        <f t="shared" si="9"/>
      </c>
      <c r="F96" s="174">
        <f t="shared" si="10"/>
      </c>
      <c r="G96" s="174">
        <f t="shared" si="13"/>
      </c>
    </row>
    <row r="97" spans="1:7" ht="12.75">
      <c r="A97" s="171">
        <f t="shared" si="11"/>
      </c>
      <c r="B97" s="172">
        <f t="shared" si="7"/>
      </c>
      <c r="C97" s="173">
        <f t="shared" si="12"/>
      </c>
      <c r="D97" s="174">
        <f t="shared" si="8"/>
      </c>
      <c r="E97" s="174">
        <f t="shared" si="9"/>
      </c>
      <c r="F97" s="174">
        <f t="shared" si="10"/>
      </c>
      <c r="G97" s="174">
        <f t="shared" si="13"/>
      </c>
    </row>
    <row r="98" spans="1:7" ht="12.75">
      <c r="A98" s="171">
        <f t="shared" si="11"/>
      </c>
      <c r="B98" s="172">
        <f t="shared" si="7"/>
      </c>
      <c r="C98" s="173">
        <f t="shared" si="12"/>
      </c>
      <c r="D98" s="174">
        <f t="shared" si="8"/>
      </c>
      <c r="E98" s="174">
        <f t="shared" si="9"/>
      </c>
      <c r="F98" s="174">
        <f t="shared" si="10"/>
      </c>
      <c r="G98" s="174">
        <f t="shared" si="13"/>
      </c>
    </row>
    <row r="99" spans="1:7" ht="12.75">
      <c r="A99" s="171">
        <f t="shared" si="11"/>
      </c>
      <c r="B99" s="172">
        <f t="shared" si="7"/>
      </c>
      <c r="C99" s="173">
        <f t="shared" si="12"/>
      </c>
      <c r="D99" s="174">
        <f t="shared" si="8"/>
      </c>
      <c r="E99" s="174">
        <f t="shared" si="9"/>
      </c>
      <c r="F99" s="174">
        <f t="shared" si="10"/>
      </c>
      <c r="G99" s="174">
        <f t="shared" si="13"/>
      </c>
    </row>
    <row r="100" spans="1:7" ht="12.75">
      <c r="A100" s="171">
        <f t="shared" si="11"/>
      </c>
      <c r="B100" s="172">
        <f t="shared" si="7"/>
      </c>
      <c r="C100" s="173">
        <f t="shared" si="12"/>
      </c>
      <c r="D100" s="174">
        <f t="shared" si="8"/>
      </c>
      <c r="E100" s="174">
        <f t="shared" si="9"/>
      </c>
      <c r="F100" s="174">
        <f t="shared" si="10"/>
      </c>
      <c r="G100" s="174">
        <f t="shared" si="13"/>
      </c>
    </row>
    <row r="101" spans="1:7" ht="12.75">
      <c r="A101" s="171">
        <f t="shared" si="11"/>
      </c>
      <c r="B101" s="172">
        <f t="shared" si="7"/>
      </c>
      <c r="C101" s="173">
        <f t="shared" si="12"/>
      </c>
      <c r="D101" s="174">
        <f t="shared" si="8"/>
      </c>
      <c r="E101" s="174">
        <f t="shared" si="9"/>
      </c>
      <c r="F101" s="174">
        <f t="shared" si="10"/>
      </c>
      <c r="G101" s="174">
        <f t="shared" si="13"/>
      </c>
    </row>
    <row r="102" spans="1:7" ht="12.75">
      <c r="A102" s="171">
        <f t="shared" si="11"/>
      </c>
      <c r="B102" s="172">
        <f t="shared" si="7"/>
      </c>
      <c r="C102" s="173">
        <f t="shared" si="12"/>
      </c>
      <c r="D102" s="174">
        <f t="shared" si="8"/>
      </c>
      <c r="E102" s="174">
        <f t="shared" si="9"/>
      </c>
      <c r="F102" s="174">
        <f t="shared" si="10"/>
      </c>
      <c r="G102" s="174">
        <f t="shared" si="13"/>
      </c>
    </row>
    <row r="103" spans="1:7" ht="12.75">
      <c r="A103" s="171">
        <f t="shared" si="11"/>
      </c>
      <c r="B103" s="172">
        <f t="shared" si="7"/>
      </c>
      <c r="C103" s="173">
        <f t="shared" si="12"/>
      </c>
      <c r="D103" s="174">
        <f t="shared" si="8"/>
      </c>
      <c r="E103" s="174">
        <f t="shared" si="9"/>
      </c>
      <c r="F103" s="174">
        <f t="shared" si="10"/>
      </c>
      <c r="G103" s="174">
        <f t="shared" si="13"/>
      </c>
    </row>
    <row r="104" spans="1:7" ht="12.75">
      <c r="A104" s="171">
        <f t="shared" si="11"/>
      </c>
      <c r="B104" s="172">
        <f t="shared" si="7"/>
      </c>
      <c r="C104" s="173">
        <f t="shared" si="12"/>
      </c>
      <c r="D104" s="174">
        <f t="shared" si="8"/>
      </c>
      <c r="E104" s="174">
        <f t="shared" si="9"/>
      </c>
      <c r="F104" s="174">
        <f t="shared" si="10"/>
      </c>
      <c r="G104" s="174">
        <f t="shared" si="13"/>
      </c>
    </row>
    <row r="105" spans="1:7" ht="12.75">
      <c r="A105" s="171">
        <f t="shared" si="11"/>
      </c>
      <c r="B105" s="172">
        <f t="shared" si="7"/>
      </c>
      <c r="C105" s="173">
        <f t="shared" si="12"/>
      </c>
      <c r="D105" s="174">
        <f t="shared" si="8"/>
      </c>
      <c r="E105" s="174">
        <f t="shared" si="9"/>
      </c>
      <c r="F105" s="174">
        <f t="shared" si="10"/>
      </c>
      <c r="G105" s="174">
        <f t="shared" si="13"/>
      </c>
    </row>
  </sheetData>
  <sheetProtection/>
  <mergeCells count="4">
    <mergeCell ref="A1:G1"/>
    <mergeCell ref="A5:G5"/>
    <mergeCell ref="A18:G18"/>
    <mergeCell ref="D11:G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C7" sqref="C7"/>
    </sheetView>
  </sheetViews>
  <sheetFormatPr defaultColWidth="11.28125" defaultRowHeight="12.75"/>
  <cols>
    <col min="1" max="1" width="3.7109375" style="135" customWidth="1"/>
    <col min="2" max="2" width="15.140625" style="135" customWidth="1"/>
    <col min="3" max="3" width="14.8515625" style="135" customWidth="1"/>
    <col min="4" max="4" width="13.7109375" style="135" customWidth="1"/>
    <col min="5" max="5" width="11.28125" style="135" customWidth="1"/>
    <col min="6" max="6" width="14.421875" style="135" customWidth="1"/>
    <col min="7" max="7" width="14.00390625" style="135" customWidth="1"/>
    <col min="8" max="8" width="2.421875" style="135" customWidth="1"/>
    <col min="9" max="10" width="5.8515625" style="135" customWidth="1"/>
    <col min="11" max="11" width="6.00390625" style="135" customWidth="1"/>
    <col min="12" max="16384" width="11.28125" style="135" customWidth="1"/>
  </cols>
  <sheetData>
    <row r="1" spans="1:8" s="138" customFormat="1" ht="27">
      <c r="A1" s="391" t="s">
        <v>175</v>
      </c>
      <c r="B1" s="391"/>
      <c r="C1" s="391"/>
      <c r="D1" s="391"/>
      <c r="E1" s="391"/>
      <c r="F1" s="391"/>
      <c r="G1" s="391"/>
      <c r="H1" s="137"/>
    </row>
    <row r="2" spans="1:8" ht="12.75">
      <c r="A2" s="134"/>
      <c r="B2" s="134" t="s">
        <v>176</v>
      </c>
      <c r="C2" s="134"/>
      <c r="D2" s="134"/>
      <c r="E2" s="134"/>
      <c r="F2" s="134"/>
      <c r="G2" s="134"/>
      <c r="H2" s="134"/>
    </row>
    <row r="3" spans="1:8" s="140" customFormat="1" ht="12">
      <c r="A3" s="139"/>
      <c r="B3" s="139" t="s">
        <v>177</v>
      </c>
      <c r="C3" s="139"/>
      <c r="D3" s="139"/>
      <c r="E3" s="139"/>
      <c r="F3" s="139"/>
      <c r="G3" s="139"/>
      <c r="H3" s="139"/>
    </row>
    <row r="4" spans="1:8" ht="12.75">
      <c r="A4" s="134"/>
      <c r="B4" s="134" t="s">
        <v>178</v>
      </c>
      <c r="C4" s="134"/>
      <c r="D4" s="134"/>
      <c r="E4" s="134"/>
      <c r="F4" s="134"/>
      <c r="G4" s="134"/>
      <c r="H4" s="134"/>
    </row>
    <row r="5" spans="1:9" ht="24.75">
      <c r="A5" s="392" t="s">
        <v>179</v>
      </c>
      <c r="B5" s="392"/>
      <c r="C5" s="392"/>
      <c r="D5" s="392"/>
      <c r="E5" s="392"/>
      <c r="F5" s="392"/>
      <c r="G5" s="392"/>
      <c r="H5" s="134"/>
      <c r="I5" s="141"/>
    </row>
    <row r="6" spans="1:8" ht="12.75">
      <c r="A6" s="142" t="s">
        <v>180</v>
      </c>
      <c r="B6" s="143"/>
      <c r="C6" s="144"/>
      <c r="D6" s="134"/>
      <c r="E6" s="142" t="s">
        <v>181</v>
      </c>
      <c r="F6" s="145"/>
      <c r="G6" s="145"/>
      <c r="H6" s="134"/>
    </row>
    <row r="7" spans="1:9" ht="12.75">
      <c r="A7" s="134"/>
      <c r="B7" s="146" t="s">
        <v>182</v>
      </c>
      <c r="C7" s="147"/>
      <c r="D7" s="134"/>
      <c r="E7" s="134"/>
      <c r="F7" s="146" t="s">
        <v>183</v>
      </c>
      <c r="G7" s="148"/>
      <c r="H7" s="134"/>
      <c r="I7" s="149"/>
    </row>
    <row r="8" spans="1:9" ht="12.75">
      <c r="A8" s="134"/>
      <c r="B8" s="146" t="s">
        <v>184</v>
      </c>
      <c r="C8" s="150"/>
      <c r="D8" s="134"/>
      <c r="E8" s="134"/>
      <c r="F8" s="146" t="s">
        <v>185</v>
      </c>
      <c r="G8" s="151">
        <v>1</v>
      </c>
      <c r="H8" s="134"/>
      <c r="I8" s="152"/>
    </row>
    <row r="9" spans="1:11" ht="12.75">
      <c r="A9" s="134"/>
      <c r="B9" s="146" t="s">
        <v>186</v>
      </c>
      <c r="C9" s="136"/>
      <c r="D9" s="134"/>
      <c r="E9" s="134"/>
      <c r="F9" s="134"/>
      <c r="G9" s="134"/>
      <c r="H9" s="134"/>
      <c r="I9" s="149"/>
      <c r="K9" s="153"/>
    </row>
    <row r="10" spans="1:8" ht="12.75">
      <c r="A10" s="134"/>
      <c r="B10" s="146" t="s">
        <v>187</v>
      </c>
      <c r="C10" s="136"/>
      <c r="D10" s="134"/>
      <c r="E10" s="134"/>
      <c r="F10" s="134"/>
      <c r="G10" s="134"/>
      <c r="H10" s="134"/>
    </row>
    <row r="11" spans="1:8" ht="12.75">
      <c r="A11" s="134"/>
      <c r="B11" s="146" t="s">
        <v>188</v>
      </c>
      <c r="C11" s="154"/>
      <c r="D11" s="393" t="s">
        <v>249</v>
      </c>
      <c r="E11" s="393"/>
      <c r="F11" s="393"/>
      <c r="G11" s="393"/>
      <c r="H11" s="134"/>
    </row>
    <row r="12" spans="1:8" ht="12.75">
      <c r="A12" s="142" t="s">
        <v>189</v>
      </c>
      <c r="B12" s="145"/>
      <c r="C12" s="145"/>
      <c r="D12" s="145"/>
      <c r="E12" s="145"/>
      <c r="F12" s="145"/>
      <c r="G12" s="145"/>
      <c r="H12" s="134"/>
    </row>
    <row r="13" spans="1:8" ht="12.75">
      <c r="A13" s="134"/>
      <c r="B13" s="146" t="s">
        <v>190</v>
      </c>
      <c r="C13" s="155">
        <v>0</v>
      </c>
      <c r="D13" s="156" t="s">
        <v>191</v>
      </c>
      <c r="E13" s="134"/>
      <c r="F13" s="134"/>
      <c r="G13" s="134"/>
      <c r="H13" s="134"/>
    </row>
    <row r="14" spans="1:8" ht="12.75">
      <c r="A14" s="134"/>
      <c r="B14" s="146" t="s">
        <v>192</v>
      </c>
      <c r="C14" s="157" t="str">
        <f>IF(C7=0," ",PMT(Periodic_rateGAP,Total_paymentsGAP,-Loan_AmountGAP))</f>
        <v> </v>
      </c>
      <c r="D14" s="156" t="s">
        <v>193</v>
      </c>
      <c r="E14" s="134"/>
      <c r="F14" s="134"/>
      <c r="G14" s="134"/>
      <c r="H14" s="134"/>
    </row>
    <row r="15" spans="1:8" ht="12.75">
      <c r="A15" s="142" t="s">
        <v>194</v>
      </c>
      <c r="B15" s="145"/>
      <c r="C15" s="145"/>
      <c r="D15" s="145"/>
      <c r="E15" s="145"/>
      <c r="F15" s="145"/>
      <c r="G15" s="145"/>
      <c r="H15" s="134"/>
    </row>
    <row r="16" spans="1:11" ht="12.75">
      <c r="A16" s="134"/>
      <c r="B16" s="146" t="s">
        <v>195</v>
      </c>
      <c r="C16" s="158" t="str">
        <f>IF(Entered_paymentGAP=0,Calculated_paymentGAP,Entered_paymentGAP)</f>
        <v> </v>
      </c>
      <c r="D16" s="134"/>
      <c r="E16" s="134"/>
      <c r="F16" s="159" t="str">
        <f>"Beginning balance at payment "&amp;TEXT(First_payment_no,"0")&amp;":"</f>
        <v>Beginning balance at payment 1:</v>
      </c>
      <c r="G16" s="160" t="str">
        <f>IF(C7=0," ",FV(Annual_interest_rate/Payments_per_year,First_payment_no-1,Pmt_to_use,-Loan_AmountGAP))</f>
        <v> </v>
      </c>
      <c r="H16" s="134"/>
      <c r="J16" s="161"/>
      <c r="K16" s="153"/>
    </row>
    <row r="17" spans="1:8" ht="12.75">
      <c r="A17" s="134"/>
      <c r="B17" s="146" t="s">
        <v>196</v>
      </c>
      <c r="C17" s="162">
        <f>IF(G7=0,IF(G8=0,1,G8),1+C10*(YEAR(G7)-YEAR(C11))+INT(C10*(MONTH(G7)-MONTH(C11))/12)+IF(DAY(G7)&gt;DAY(C11),1))</f>
        <v>1</v>
      </c>
      <c r="D17" s="134"/>
      <c r="E17" s="134"/>
      <c r="F17" s="159" t="str">
        <f>"Cumulative interest prior to payment "&amp;TEXT(First_payment_no,"0")&amp;":"</f>
        <v>Cumulative interest prior to payment 1:</v>
      </c>
      <c r="G17" s="160" t="str">
        <f>IF(C7=0," ",Pmt_to_use*(First_payment_no-1)-(Loan_Amount-Table_beg_bal))</f>
        <v> </v>
      </c>
      <c r="H17" s="134"/>
    </row>
    <row r="18" spans="1:8" ht="24.75">
      <c r="A18" s="392" t="s">
        <v>197</v>
      </c>
      <c r="B18" s="392"/>
      <c r="C18" s="392"/>
      <c r="D18" s="392"/>
      <c r="E18" s="392"/>
      <c r="F18" s="392"/>
      <c r="G18" s="392"/>
      <c r="H18" s="134"/>
    </row>
    <row r="19" spans="1:7" ht="12.75">
      <c r="A19" s="134"/>
      <c r="B19" s="134"/>
      <c r="C19" s="134"/>
      <c r="D19" s="163"/>
      <c r="E19" s="163"/>
      <c r="G19" s="134"/>
    </row>
    <row r="20" spans="1:7" ht="12.75">
      <c r="A20" s="164"/>
      <c r="B20" s="164" t="s">
        <v>121</v>
      </c>
      <c r="C20" s="164" t="s">
        <v>198</v>
      </c>
      <c r="D20" s="164"/>
      <c r="E20" s="164"/>
      <c r="F20" s="164" t="s">
        <v>199</v>
      </c>
      <c r="G20" s="164" t="s">
        <v>200</v>
      </c>
    </row>
    <row r="21" spans="1:9" ht="12.75">
      <c r="A21" s="165" t="s">
        <v>201</v>
      </c>
      <c r="B21" s="165" t="s">
        <v>202</v>
      </c>
      <c r="C21" s="165" t="s">
        <v>203</v>
      </c>
      <c r="D21" s="165" t="s">
        <v>22</v>
      </c>
      <c r="E21" s="165" t="s">
        <v>89</v>
      </c>
      <c r="F21" s="165" t="s">
        <v>203</v>
      </c>
      <c r="G21" s="165" t="s">
        <v>22</v>
      </c>
      <c r="I21" s="153"/>
    </row>
    <row r="22" spans="1:11" ht="12.75">
      <c r="A22" s="166">
        <f>IF(First_payment_noGAP&lt;Total_paymentsGAP,First_payment_noGAP,"")</f>
      </c>
      <c r="B22" s="167">
        <f>Show.DateGAP</f>
      </c>
      <c r="C22" s="168">
        <f>IF(A22&lt;&gt;"",IF(Table_beg_balGAP&lt;0,0,Table_beg_balGAP),"")</f>
      </c>
      <c r="D22" s="168">
        <f aca="true" t="shared" si="0" ref="D22:D53">InterestGAP</f>
      </c>
      <c r="E22" s="168">
        <f>PrincipalGAP</f>
      </c>
      <c r="F22" s="169">
        <f>Ending.BalanceGAP</f>
      </c>
      <c r="G22" s="169">
        <f aca="true" t="shared" si="1" ref="G22:G53">IF(A22&lt;&gt;"",D22+Table_prior_interestGAP,"")</f>
      </c>
      <c r="I22" s="149"/>
      <c r="K22" s="170"/>
    </row>
    <row r="23" spans="1:7" ht="12.75">
      <c r="A23" s="166">
        <f>payment.NumGAP</f>
      </c>
      <c r="B23" s="167">
        <f>Show.DateGAP</f>
      </c>
      <c r="C23" s="169">
        <f>Beg.BalGAP</f>
      </c>
      <c r="D23" s="168">
        <f t="shared" si="0"/>
      </c>
      <c r="E23" s="168">
        <f>PrincipalGAP</f>
      </c>
      <c r="F23" s="169">
        <f>Ending.BalanceGAP</f>
      </c>
      <c r="G23" s="169">
        <f t="shared" si="1"/>
      </c>
    </row>
    <row r="24" spans="1:10" ht="12.75">
      <c r="A24" s="166">
        <f>payment.NumGAP</f>
      </c>
      <c r="B24" s="167">
        <f>Show.DateGAP</f>
      </c>
      <c r="C24" s="169">
        <f>Beg.BalGAP</f>
      </c>
      <c r="D24" s="168">
        <f t="shared" si="0"/>
      </c>
      <c r="E24" s="168">
        <f>PrincipalGAP</f>
      </c>
      <c r="F24" s="169">
        <f>Ending.BalanceGAP</f>
      </c>
      <c r="G24" s="169">
        <f t="shared" si="1"/>
      </c>
      <c r="J24" s="149"/>
    </row>
    <row r="25" spans="1:7" ht="12.75">
      <c r="A25" s="166">
        <f>payment.NumGAP</f>
      </c>
      <c r="B25" s="167">
        <f>Show.DateGAP</f>
      </c>
      <c r="C25" s="169">
        <f>Beg.BalGAP</f>
      </c>
      <c r="D25" s="168">
        <f t="shared" si="0"/>
      </c>
      <c r="E25" s="168">
        <f>PrincipalGAP</f>
      </c>
      <c r="F25" s="169">
        <f>Ending.BalanceGAP</f>
      </c>
      <c r="G25" s="169">
        <f t="shared" si="1"/>
      </c>
    </row>
    <row r="26" spans="1:7" ht="12.75">
      <c r="A26" s="166">
        <f>payment.NumGAP</f>
      </c>
      <c r="B26" s="167">
        <f>Show.DateGAP</f>
      </c>
      <c r="C26" s="169">
        <f>Beg.BalGAP</f>
      </c>
      <c r="D26" s="168">
        <f t="shared" si="0"/>
      </c>
      <c r="E26" s="168">
        <f>PrincipalGAP</f>
      </c>
      <c r="F26" s="169">
        <f>Ending.BalanceGAP</f>
      </c>
      <c r="G26" s="169">
        <f t="shared" si="1"/>
      </c>
    </row>
    <row r="27" spans="1:7" ht="12.75">
      <c r="A27" s="166">
        <f>payment.NumGAP</f>
      </c>
      <c r="B27" s="167">
        <f>Show.DateGAP</f>
      </c>
      <c r="C27" s="169">
        <f>Beg.BalGAP</f>
      </c>
      <c r="D27" s="168">
        <f t="shared" si="0"/>
      </c>
      <c r="E27" s="168">
        <f>PrincipalGAP</f>
      </c>
      <c r="F27" s="169">
        <f>Ending.BalanceGAP</f>
      </c>
      <c r="G27" s="169">
        <f t="shared" si="1"/>
      </c>
    </row>
    <row r="28" spans="1:7" ht="12.75">
      <c r="A28" s="166">
        <f>payment.NumGAP</f>
      </c>
      <c r="B28" s="167">
        <f>Show.DateGAP</f>
      </c>
      <c r="C28" s="169">
        <f>Beg.BalGAP</f>
      </c>
      <c r="D28" s="168">
        <f t="shared" si="0"/>
      </c>
      <c r="E28" s="168">
        <f>PrincipalGAP</f>
      </c>
      <c r="F28" s="169">
        <f>Ending.BalanceGAP</f>
      </c>
      <c r="G28" s="169">
        <f t="shared" si="1"/>
      </c>
    </row>
    <row r="29" spans="1:7" ht="12.75">
      <c r="A29" s="166">
        <f>payment.NumGAP</f>
      </c>
      <c r="B29" s="167">
        <f>Show.DateGAP</f>
      </c>
      <c r="C29" s="169">
        <f>Beg.BalGAP</f>
      </c>
      <c r="D29" s="168">
        <f t="shared" si="0"/>
      </c>
      <c r="E29" s="168">
        <f>PrincipalGAP</f>
      </c>
      <c r="F29" s="169">
        <f>Ending.BalanceGAP</f>
      </c>
      <c r="G29" s="169">
        <f t="shared" si="1"/>
      </c>
    </row>
    <row r="30" spans="1:7" ht="12.75">
      <c r="A30" s="166">
        <f>payment.NumGAP</f>
      </c>
      <c r="B30" s="167">
        <f>Show.DateGAP</f>
      </c>
      <c r="C30" s="169">
        <f>Beg.BalGAP</f>
      </c>
      <c r="D30" s="168">
        <f t="shared" si="0"/>
      </c>
      <c r="E30" s="168">
        <f>PrincipalGAP</f>
      </c>
      <c r="F30" s="169">
        <f>Ending.BalanceGAP</f>
      </c>
      <c r="G30" s="169">
        <f t="shared" si="1"/>
      </c>
    </row>
    <row r="31" spans="1:7" ht="12.75">
      <c r="A31" s="166">
        <f>payment.NumGAP</f>
      </c>
      <c r="B31" s="167">
        <f>Show.DateGAP</f>
      </c>
      <c r="C31" s="169">
        <f>Beg.BalGAP</f>
      </c>
      <c r="D31" s="168">
        <f t="shared" si="0"/>
      </c>
      <c r="E31" s="168">
        <f>PrincipalGAP</f>
      </c>
      <c r="F31" s="169">
        <f>Ending.BalanceGAP</f>
      </c>
      <c r="G31" s="169">
        <f t="shared" si="1"/>
      </c>
    </row>
    <row r="32" spans="1:7" ht="12.75">
      <c r="A32" s="166">
        <f>payment.NumGAP</f>
      </c>
      <c r="B32" s="167">
        <f>Show.DateGAP</f>
      </c>
      <c r="C32" s="169">
        <f>Beg.BalGAP</f>
      </c>
      <c r="D32" s="168">
        <f t="shared" si="0"/>
      </c>
      <c r="E32" s="168">
        <f>PrincipalGAP</f>
      </c>
      <c r="F32" s="169">
        <f>Ending.BalanceGAP</f>
      </c>
      <c r="G32" s="169">
        <f t="shared" si="1"/>
      </c>
    </row>
    <row r="33" spans="1:7" ht="12.75">
      <c r="A33" s="166">
        <f>payment.NumGAP</f>
      </c>
      <c r="B33" s="167">
        <f>Show.DateGAP</f>
      </c>
      <c r="C33" s="169">
        <f>Beg.BalGAP</f>
      </c>
      <c r="D33" s="168">
        <f t="shared" si="0"/>
      </c>
      <c r="E33" s="168">
        <f>PrincipalGAP</f>
      </c>
      <c r="F33" s="169">
        <f>Ending.BalanceGAP</f>
      </c>
      <c r="G33" s="169">
        <f t="shared" si="1"/>
      </c>
    </row>
    <row r="34" spans="1:7" ht="12.75">
      <c r="A34" s="166">
        <f>payment.NumGAP</f>
      </c>
      <c r="B34" s="167">
        <f>Show.DateGAP</f>
      </c>
      <c r="C34" s="169">
        <f>Beg.BalGAP</f>
      </c>
      <c r="D34" s="168">
        <f t="shared" si="0"/>
      </c>
      <c r="E34" s="168">
        <f>PrincipalGAP</f>
      </c>
      <c r="F34" s="169">
        <f>Ending.BalanceGAP</f>
      </c>
      <c r="G34" s="169">
        <f t="shared" si="1"/>
      </c>
    </row>
    <row r="35" spans="1:7" ht="12.75">
      <c r="A35" s="166">
        <f>payment.NumGAP</f>
      </c>
      <c r="B35" s="167">
        <f>Show.DateGAP</f>
      </c>
      <c r="C35" s="169">
        <f>Beg.BalGAP</f>
      </c>
      <c r="D35" s="168">
        <f t="shared" si="0"/>
      </c>
      <c r="E35" s="168">
        <f>PrincipalGAP</f>
      </c>
      <c r="F35" s="169">
        <f>Ending.BalanceGAP</f>
      </c>
      <c r="G35" s="169">
        <f t="shared" si="1"/>
      </c>
    </row>
    <row r="36" spans="1:7" ht="12.75">
      <c r="A36" s="166">
        <f>payment.NumGAP</f>
      </c>
      <c r="B36" s="167">
        <f>Show.DateGAP</f>
      </c>
      <c r="C36" s="169">
        <f>Beg.BalGAP</f>
      </c>
      <c r="D36" s="168">
        <f t="shared" si="0"/>
      </c>
      <c r="E36" s="168">
        <f>PrincipalGAP</f>
      </c>
      <c r="F36" s="169">
        <f>Ending.BalanceGAP</f>
      </c>
      <c r="G36" s="169">
        <f t="shared" si="1"/>
      </c>
    </row>
    <row r="37" spans="1:7" ht="12.75">
      <c r="A37" s="166">
        <f>payment.NumGAP</f>
      </c>
      <c r="B37" s="167">
        <f>Show.DateGAP</f>
      </c>
      <c r="C37" s="169">
        <f>Beg.BalGAP</f>
      </c>
      <c r="D37" s="168">
        <f t="shared" si="0"/>
      </c>
      <c r="E37" s="168">
        <f>PrincipalGAP</f>
      </c>
      <c r="F37" s="169">
        <f>Ending.BalanceGAP</f>
      </c>
      <c r="G37" s="169">
        <f t="shared" si="1"/>
      </c>
    </row>
    <row r="38" spans="1:7" ht="12.75">
      <c r="A38" s="166">
        <f>payment.NumGAP</f>
      </c>
      <c r="B38" s="167">
        <f>Show.DateGAP</f>
      </c>
      <c r="C38" s="169">
        <f>Beg.BalGAP</f>
      </c>
      <c r="D38" s="168">
        <f t="shared" si="0"/>
      </c>
      <c r="E38" s="168">
        <f>PrincipalGAP</f>
      </c>
      <c r="F38" s="169">
        <f>Ending.BalanceGAP</f>
      </c>
      <c r="G38" s="169">
        <f t="shared" si="1"/>
      </c>
    </row>
    <row r="39" spans="1:7" ht="12.75">
      <c r="A39" s="166">
        <f>payment.NumGAP</f>
      </c>
      <c r="B39" s="167">
        <f>Show.DateGAP</f>
      </c>
      <c r="C39" s="169">
        <f>Beg.BalGAP</f>
      </c>
      <c r="D39" s="168">
        <f t="shared" si="0"/>
      </c>
      <c r="E39" s="168">
        <f>PrincipalGAP</f>
      </c>
      <c r="F39" s="169">
        <f>Ending.BalanceGAP</f>
      </c>
      <c r="G39" s="169">
        <f t="shared" si="1"/>
      </c>
    </row>
    <row r="40" spans="1:7" ht="12.75">
      <c r="A40" s="166">
        <f>payment.NumGAP</f>
      </c>
      <c r="B40" s="167">
        <f>Show.DateGAP</f>
      </c>
      <c r="C40" s="169">
        <f>Beg.BalGAP</f>
      </c>
      <c r="D40" s="168">
        <f t="shared" si="0"/>
      </c>
      <c r="E40" s="168">
        <f>PrincipalGAP</f>
      </c>
      <c r="F40" s="169">
        <f>Ending.BalanceGAP</f>
      </c>
      <c r="G40" s="169">
        <f t="shared" si="1"/>
      </c>
    </row>
    <row r="41" spans="1:7" ht="12.75">
      <c r="A41" s="166">
        <f>payment.NumGAP</f>
      </c>
      <c r="B41" s="167">
        <f>Show.DateGAP</f>
      </c>
      <c r="C41" s="169">
        <f>Beg.BalGAP</f>
      </c>
      <c r="D41" s="168">
        <f t="shared" si="0"/>
      </c>
      <c r="E41" s="168">
        <f>PrincipalGAP</f>
      </c>
      <c r="F41" s="169">
        <f>Ending.BalanceGAP</f>
      </c>
      <c r="G41" s="169">
        <f t="shared" si="1"/>
      </c>
    </row>
    <row r="42" spans="1:7" ht="12.75">
      <c r="A42" s="166">
        <f>payment.NumGAP</f>
      </c>
      <c r="B42" s="167">
        <f>Show.DateGAP</f>
      </c>
      <c r="C42" s="169">
        <f>Beg.BalGAP</f>
      </c>
      <c r="D42" s="168">
        <f t="shared" si="0"/>
      </c>
      <c r="E42" s="168">
        <f>PrincipalGAP</f>
      </c>
      <c r="F42" s="169">
        <f>Ending.BalanceGAP</f>
      </c>
      <c r="G42" s="169">
        <f t="shared" si="1"/>
      </c>
    </row>
    <row r="43" spans="1:7" ht="12.75">
      <c r="A43" s="166">
        <f>payment.NumGAP</f>
      </c>
      <c r="B43" s="167">
        <f>Show.DateGAP</f>
      </c>
      <c r="C43" s="169">
        <f>Beg.BalGAP</f>
      </c>
      <c r="D43" s="168">
        <f t="shared" si="0"/>
      </c>
      <c r="E43" s="168">
        <f>PrincipalGAP</f>
      </c>
      <c r="F43" s="169">
        <f>Ending.BalanceGAP</f>
      </c>
      <c r="G43" s="169">
        <f t="shared" si="1"/>
      </c>
    </row>
    <row r="44" spans="1:7" ht="12.75">
      <c r="A44" s="166">
        <f>payment.NumGAP</f>
      </c>
      <c r="B44" s="167">
        <f>Show.DateGAP</f>
      </c>
      <c r="C44" s="169">
        <f>Beg.BalGAP</f>
      </c>
      <c r="D44" s="168">
        <f t="shared" si="0"/>
      </c>
      <c r="E44" s="168">
        <f>PrincipalGAP</f>
      </c>
      <c r="F44" s="169">
        <f>Ending.BalanceGAP</f>
      </c>
      <c r="G44" s="169">
        <f t="shared" si="1"/>
      </c>
    </row>
    <row r="45" spans="1:7" ht="12.75">
      <c r="A45" s="166">
        <f>payment.NumGAP</f>
      </c>
      <c r="B45" s="167">
        <f>Show.DateGAP</f>
      </c>
      <c r="C45" s="169">
        <f>Beg.BalGAP</f>
      </c>
      <c r="D45" s="168">
        <f t="shared" si="0"/>
      </c>
      <c r="E45" s="168">
        <f>PrincipalGAP</f>
      </c>
      <c r="F45" s="169">
        <f>Ending.BalanceGAP</f>
      </c>
      <c r="G45" s="169">
        <f t="shared" si="1"/>
      </c>
    </row>
    <row r="46" spans="1:7" ht="12.75">
      <c r="A46" s="166">
        <f>payment.NumGAP</f>
      </c>
      <c r="B46" s="167">
        <f>Show.DateGAP</f>
      </c>
      <c r="C46" s="169">
        <f>Beg.BalGAP</f>
      </c>
      <c r="D46" s="168">
        <f t="shared" si="0"/>
      </c>
      <c r="E46" s="168">
        <f>PrincipalGAP</f>
      </c>
      <c r="F46" s="169">
        <f>Ending.BalanceGAP</f>
      </c>
      <c r="G46" s="169">
        <f t="shared" si="1"/>
      </c>
    </row>
    <row r="47" spans="1:7" ht="12.75">
      <c r="A47" s="166">
        <f>payment.NumGAP</f>
      </c>
      <c r="B47" s="167">
        <f>Show.DateGAP</f>
      </c>
      <c r="C47" s="169">
        <f>Beg.BalGAP</f>
      </c>
      <c r="D47" s="168">
        <f t="shared" si="0"/>
      </c>
      <c r="E47" s="168">
        <f>PrincipalGAP</f>
      </c>
      <c r="F47" s="169">
        <f>Ending.BalanceGAP</f>
      </c>
      <c r="G47" s="169">
        <f t="shared" si="1"/>
      </c>
    </row>
    <row r="48" spans="1:7" ht="12.75">
      <c r="A48" s="166">
        <f>payment.NumGAP</f>
      </c>
      <c r="B48" s="167">
        <f>Show.DateGAP</f>
      </c>
      <c r="C48" s="169">
        <f>Beg.BalGAP</f>
      </c>
      <c r="D48" s="168">
        <f t="shared" si="0"/>
      </c>
      <c r="E48" s="168">
        <f>PrincipalGAP</f>
      </c>
      <c r="F48" s="169">
        <f>Ending.BalanceGAP</f>
      </c>
      <c r="G48" s="169">
        <f t="shared" si="1"/>
      </c>
    </row>
    <row r="49" spans="1:7" ht="12.75">
      <c r="A49" s="166">
        <f>payment.NumGAP</f>
      </c>
      <c r="B49" s="167">
        <f>Show.DateGAP</f>
      </c>
      <c r="C49" s="169">
        <f>Beg.BalGAP</f>
      </c>
      <c r="D49" s="168">
        <f t="shared" si="0"/>
      </c>
      <c r="E49" s="168">
        <f>PrincipalGAP</f>
      </c>
      <c r="F49" s="169">
        <f>Ending.BalanceGAP</f>
      </c>
      <c r="G49" s="169">
        <f t="shared" si="1"/>
      </c>
    </row>
    <row r="50" spans="1:7" ht="12.75">
      <c r="A50" s="166">
        <f>payment.NumGAP</f>
      </c>
      <c r="B50" s="167">
        <f>Show.DateGAP</f>
      </c>
      <c r="C50" s="169">
        <f>Beg.BalGAP</f>
      </c>
      <c r="D50" s="168">
        <f t="shared" si="0"/>
      </c>
      <c r="E50" s="168">
        <f>PrincipalGAP</f>
      </c>
      <c r="F50" s="169">
        <f>Ending.BalanceGAP</f>
      </c>
      <c r="G50" s="169">
        <f t="shared" si="1"/>
      </c>
    </row>
    <row r="51" spans="1:7" ht="12.75">
      <c r="A51" s="166">
        <f>payment.NumGAP</f>
      </c>
      <c r="B51" s="167">
        <f>Show.DateGAP</f>
      </c>
      <c r="C51" s="169">
        <f>Beg.BalGAP</f>
      </c>
      <c r="D51" s="168">
        <f t="shared" si="0"/>
      </c>
      <c r="E51" s="168">
        <f>PrincipalGAP</f>
      </c>
      <c r="F51" s="169">
        <f>Ending.BalanceGAP</f>
      </c>
      <c r="G51" s="169">
        <f t="shared" si="1"/>
      </c>
    </row>
    <row r="52" spans="1:7" ht="12.75">
      <c r="A52" s="166">
        <f>payment.NumGAP</f>
      </c>
      <c r="B52" s="167">
        <f>Show.DateGAP</f>
      </c>
      <c r="C52" s="169">
        <f>Beg.BalGAP</f>
      </c>
      <c r="D52" s="168">
        <f t="shared" si="0"/>
      </c>
      <c r="E52" s="168">
        <f>PrincipalGAP</f>
      </c>
      <c r="F52" s="169">
        <f>Ending.BalanceGAP</f>
      </c>
      <c r="G52" s="169">
        <f t="shared" si="1"/>
      </c>
    </row>
    <row r="53" spans="1:7" ht="12.75">
      <c r="A53" s="166">
        <f>payment.NumGAP</f>
      </c>
      <c r="B53" s="167">
        <f>Show.DateGAP</f>
      </c>
      <c r="C53" s="169">
        <f>Beg.BalGAP</f>
      </c>
      <c r="D53" s="168">
        <f t="shared" si="0"/>
      </c>
      <c r="E53" s="168">
        <f>PrincipalGAP</f>
      </c>
      <c r="F53" s="169">
        <f>Ending.BalanceGAP</f>
      </c>
      <c r="G53" s="169">
        <f t="shared" si="1"/>
      </c>
    </row>
    <row r="54" spans="1:7" ht="12.75">
      <c r="A54" s="166">
        <f>payment.NumGAP</f>
      </c>
      <c r="B54" s="167">
        <f>Show.DateGAP</f>
      </c>
      <c r="C54" s="169">
        <f>Beg.BalGAP</f>
      </c>
      <c r="D54" s="168">
        <f aca="true" t="shared" si="2" ref="D54:D85">InterestGAP</f>
      </c>
      <c r="E54" s="168">
        <f>PrincipalGAP</f>
      </c>
      <c r="F54" s="169">
        <f>Ending.BalanceGAP</f>
      </c>
      <c r="G54" s="169">
        <f aca="true" t="shared" si="3" ref="G54:G85">IF(A54&lt;&gt;"",D54+Table_prior_interestGAP,"")</f>
      </c>
    </row>
    <row r="55" spans="1:7" ht="12.75">
      <c r="A55" s="166">
        <f>payment.NumGAP</f>
      </c>
      <c r="B55" s="167">
        <f>Show.DateGAP</f>
      </c>
      <c r="C55" s="169">
        <f>Beg.BalGAP</f>
      </c>
      <c r="D55" s="168">
        <f t="shared" si="2"/>
      </c>
      <c r="E55" s="168">
        <f>PrincipalGAP</f>
      </c>
      <c r="F55" s="169">
        <f>Ending.BalanceGAP</f>
      </c>
      <c r="G55" s="169">
        <f t="shared" si="3"/>
      </c>
    </row>
    <row r="56" spans="1:7" ht="12.75">
      <c r="A56" s="166">
        <f>payment.NumGAP</f>
      </c>
      <c r="B56" s="167">
        <f>Show.DateGAP</f>
      </c>
      <c r="C56" s="169">
        <f>Beg.BalGAP</f>
      </c>
      <c r="D56" s="168">
        <f t="shared" si="2"/>
      </c>
      <c r="E56" s="168">
        <f>PrincipalGAP</f>
      </c>
      <c r="F56" s="169">
        <f>Ending.BalanceGAP</f>
      </c>
      <c r="G56" s="169">
        <f t="shared" si="3"/>
      </c>
    </row>
    <row r="57" spans="1:7" ht="12.75">
      <c r="A57" s="166">
        <f>payment.NumGAP</f>
      </c>
      <c r="B57" s="167">
        <f>Show.DateGAP</f>
      </c>
      <c r="C57" s="169">
        <f>Beg.BalGAP</f>
      </c>
      <c r="D57" s="168">
        <f t="shared" si="2"/>
      </c>
      <c r="E57" s="168">
        <f>PrincipalGAP</f>
      </c>
      <c r="F57" s="169">
        <f>Ending.BalanceGAP</f>
      </c>
      <c r="G57" s="169">
        <f t="shared" si="3"/>
      </c>
    </row>
    <row r="58" spans="1:7" ht="12.75">
      <c r="A58" s="166">
        <f>payment.NumGAP</f>
      </c>
      <c r="B58" s="167">
        <f>Show.DateGAP</f>
      </c>
      <c r="C58" s="169">
        <f>Beg.BalGAP</f>
      </c>
      <c r="D58" s="168">
        <f t="shared" si="2"/>
      </c>
      <c r="E58" s="168">
        <f>PrincipalGAP</f>
      </c>
      <c r="F58" s="169">
        <f>Ending.BalanceGAP</f>
      </c>
      <c r="G58" s="169">
        <f t="shared" si="3"/>
      </c>
    </row>
    <row r="59" spans="1:7" ht="12.75">
      <c r="A59" s="166">
        <f>payment.NumGAP</f>
      </c>
      <c r="B59" s="167">
        <f>Show.DateGAP</f>
      </c>
      <c r="C59" s="169">
        <f>Beg.BalGAP</f>
      </c>
      <c r="D59" s="168">
        <f t="shared" si="2"/>
      </c>
      <c r="E59" s="168">
        <f>PrincipalGAP</f>
      </c>
      <c r="F59" s="169">
        <f>Ending.BalanceGAP</f>
      </c>
      <c r="G59" s="169">
        <f t="shared" si="3"/>
      </c>
    </row>
    <row r="60" spans="1:7" ht="12.75">
      <c r="A60" s="166">
        <f>payment.NumGAP</f>
      </c>
      <c r="B60" s="167">
        <f>Show.DateGAP</f>
      </c>
      <c r="C60" s="169">
        <f>Beg.BalGAP</f>
      </c>
      <c r="D60" s="168">
        <f t="shared" si="2"/>
      </c>
      <c r="E60" s="168">
        <f>PrincipalGAP</f>
      </c>
      <c r="F60" s="169">
        <f>Ending.BalanceGAP</f>
      </c>
      <c r="G60" s="169">
        <f t="shared" si="3"/>
      </c>
    </row>
    <row r="61" spans="1:7" ht="12.75">
      <c r="A61" s="166">
        <f>payment.NumGAP</f>
      </c>
      <c r="B61" s="167">
        <f>Show.DateGAP</f>
      </c>
      <c r="C61" s="169">
        <f>Beg.BalGAP</f>
      </c>
      <c r="D61" s="168">
        <f t="shared" si="2"/>
      </c>
      <c r="E61" s="168">
        <f>PrincipalGAP</f>
      </c>
      <c r="F61" s="169">
        <f>Ending.BalanceGAP</f>
      </c>
      <c r="G61" s="169">
        <f t="shared" si="3"/>
      </c>
    </row>
    <row r="62" spans="1:7" ht="12.75">
      <c r="A62" s="166">
        <f>payment.NumGAP</f>
      </c>
      <c r="B62" s="167">
        <f>Show.DateGAP</f>
      </c>
      <c r="C62" s="169">
        <f>Beg.BalGAP</f>
      </c>
      <c r="D62" s="168">
        <f t="shared" si="2"/>
      </c>
      <c r="E62" s="168">
        <f>PrincipalGAP</f>
      </c>
      <c r="F62" s="169">
        <f>Ending.BalanceGAP</f>
      </c>
      <c r="G62" s="169">
        <f t="shared" si="3"/>
      </c>
    </row>
    <row r="63" spans="1:7" ht="12.75">
      <c r="A63" s="166">
        <f>payment.NumGAP</f>
      </c>
      <c r="B63" s="167">
        <f>Show.DateGAP</f>
      </c>
      <c r="C63" s="169">
        <f>Beg.BalGAP</f>
      </c>
      <c r="D63" s="168">
        <f t="shared" si="2"/>
      </c>
      <c r="E63" s="168">
        <f>PrincipalGAP</f>
      </c>
      <c r="F63" s="169">
        <f>Ending.BalanceGAP</f>
      </c>
      <c r="G63" s="169">
        <f t="shared" si="3"/>
      </c>
    </row>
    <row r="64" spans="1:7" ht="12.75">
      <c r="A64" s="166">
        <f>payment.NumGAP</f>
      </c>
      <c r="B64" s="167">
        <f>Show.DateGAP</f>
      </c>
      <c r="C64" s="169">
        <f>Beg.BalGAP</f>
      </c>
      <c r="D64" s="168">
        <f t="shared" si="2"/>
      </c>
      <c r="E64" s="168">
        <f>PrincipalGAP</f>
      </c>
      <c r="F64" s="169">
        <f>Ending.BalanceGAP</f>
      </c>
      <c r="G64" s="169">
        <f t="shared" si="3"/>
      </c>
    </row>
    <row r="65" spans="1:7" ht="12.75">
      <c r="A65" s="166">
        <f>payment.NumGAP</f>
      </c>
      <c r="B65" s="167">
        <f>Show.DateGAP</f>
      </c>
      <c r="C65" s="169">
        <f>Beg.BalGAP</f>
      </c>
      <c r="D65" s="168">
        <f t="shared" si="2"/>
      </c>
      <c r="E65" s="168">
        <f>PrincipalGAP</f>
      </c>
      <c r="F65" s="169">
        <f>Ending.BalanceGAP</f>
      </c>
      <c r="G65" s="169">
        <f t="shared" si="3"/>
      </c>
    </row>
    <row r="66" spans="1:7" ht="12.75">
      <c r="A66" s="166">
        <f>payment.NumGAP</f>
      </c>
      <c r="B66" s="167">
        <f>Show.DateGAP</f>
      </c>
      <c r="C66" s="169">
        <f>Beg.BalGAP</f>
      </c>
      <c r="D66" s="168">
        <f t="shared" si="2"/>
      </c>
      <c r="E66" s="168">
        <f>PrincipalGAP</f>
      </c>
      <c r="F66" s="169">
        <f>Ending.BalanceGAP</f>
      </c>
      <c r="G66" s="169">
        <f t="shared" si="3"/>
      </c>
    </row>
    <row r="67" spans="1:7" ht="12.75">
      <c r="A67" s="166">
        <f>payment.NumGAP</f>
      </c>
      <c r="B67" s="167">
        <f>Show.DateGAP</f>
      </c>
      <c r="C67" s="169">
        <f>Beg.BalGAP</f>
      </c>
      <c r="D67" s="168">
        <f t="shared" si="2"/>
      </c>
      <c r="E67" s="168">
        <f>PrincipalGAP</f>
      </c>
      <c r="F67" s="169">
        <f>Ending.BalanceGAP</f>
      </c>
      <c r="G67" s="169">
        <f t="shared" si="3"/>
      </c>
    </row>
    <row r="68" spans="1:7" ht="12.75">
      <c r="A68" s="166">
        <f>payment.NumGAP</f>
      </c>
      <c r="B68" s="167">
        <f>Show.DateGAP</f>
      </c>
      <c r="C68" s="169">
        <f>Beg.BalGAP</f>
      </c>
      <c r="D68" s="168">
        <f t="shared" si="2"/>
      </c>
      <c r="E68" s="168">
        <f>PrincipalGAP</f>
      </c>
      <c r="F68" s="169">
        <f>Ending.BalanceGAP</f>
      </c>
      <c r="G68" s="169">
        <f t="shared" si="3"/>
      </c>
    </row>
    <row r="69" spans="1:7" ht="12.75">
      <c r="A69" s="166">
        <f>payment.NumGAP</f>
      </c>
      <c r="B69" s="167">
        <f>Show.DateGAP</f>
      </c>
      <c r="C69" s="169">
        <f>Beg.BalGAP</f>
      </c>
      <c r="D69" s="168">
        <f t="shared" si="2"/>
      </c>
      <c r="E69" s="168">
        <f>PrincipalGAP</f>
      </c>
      <c r="F69" s="169">
        <f>Ending.BalanceGAP</f>
      </c>
      <c r="G69" s="169">
        <f t="shared" si="3"/>
      </c>
    </row>
    <row r="70" spans="1:7" ht="12.75">
      <c r="A70" s="166">
        <f>payment.NumGAP</f>
      </c>
      <c r="B70" s="167">
        <f>Show.DateGAP</f>
      </c>
      <c r="C70" s="169">
        <f>Beg.BalGAP</f>
      </c>
      <c r="D70" s="168">
        <f t="shared" si="2"/>
      </c>
      <c r="E70" s="168">
        <f>PrincipalGAP</f>
      </c>
      <c r="F70" s="169">
        <f>Ending.BalanceGAP</f>
      </c>
      <c r="G70" s="169">
        <f t="shared" si="3"/>
      </c>
    </row>
    <row r="71" spans="1:7" ht="12.75">
      <c r="A71" s="166">
        <f>payment.NumGAP</f>
      </c>
      <c r="B71" s="167">
        <f>Show.DateGAP</f>
      </c>
      <c r="C71" s="169">
        <f>Beg.BalGAP</f>
      </c>
      <c r="D71" s="168">
        <f t="shared" si="2"/>
      </c>
      <c r="E71" s="168">
        <f>PrincipalGAP</f>
      </c>
      <c r="F71" s="169">
        <f>Ending.BalanceGAP</f>
      </c>
      <c r="G71" s="169">
        <f t="shared" si="3"/>
      </c>
    </row>
    <row r="72" spans="1:7" ht="12.75">
      <c r="A72" s="166">
        <f>payment.NumGAP</f>
      </c>
      <c r="B72" s="167">
        <f>Show.DateGAP</f>
      </c>
      <c r="C72" s="169">
        <f>Beg.BalGAP</f>
      </c>
      <c r="D72" s="168">
        <f t="shared" si="2"/>
      </c>
      <c r="E72" s="168">
        <f>PrincipalGAP</f>
      </c>
      <c r="F72" s="169">
        <f>Ending.BalanceGAP</f>
      </c>
      <c r="G72" s="169">
        <f t="shared" si="3"/>
      </c>
    </row>
    <row r="73" spans="1:7" ht="12.75">
      <c r="A73" s="166">
        <f>payment.NumGAP</f>
      </c>
      <c r="B73" s="167">
        <f>Show.DateGAP</f>
      </c>
      <c r="C73" s="169">
        <f>Beg.BalGAP</f>
      </c>
      <c r="D73" s="168">
        <f t="shared" si="2"/>
      </c>
      <c r="E73" s="168">
        <f>PrincipalGAP</f>
      </c>
      <c r="F73" s="169">
        <f>Ending.BalanceGAP</f>
      </c>
      <c r="G73" s="169">
        <f t="shared" si="3"/>
      </c>
    </row>
    <row r="74" spans="1:7" ht="12.75">
      <c r="A74" s="166">
        <f>payment.NumGAP</f>
      </c>
      <c r="B74" s="167">
        <f>Show.DateGAP</f>
      </c>
      <c r="C74" s="169">
        <f>Beg.BalGAP</f>
      </c>
      <c r="D74" s="168">
        <f t="shared" si="2"/>
      </c>
      <c r="E74" s="168">
        <f>PrincipalGAP</f>
      </c>
      <c r="F74" s="169">
        <f>Ending.BalanceGAP</f>
      </c>
      <c r="G74" s="169">
        <f t="shared" si="3"/>
      </c>
    </row>
    <row r="75" spans="1:7" ht="12.75">
      <c r="A75" s="166">
        <f>payment.NumGAP</f>
      </c>
      <c r="B75" s="167">
        <f>Show.DateGAP</f>
      </c>
      <c r="C75" s="169">
        <f>Beg.BalGAP</f>
      </c>
      <c r="D75" s="168">
        <f t="shared" si="2"/>
      </c>
      <c r="E75" s="168">
        <f>PrincipalGAP</f>
      </c>
      <c r="F75" s="169">
        <f>Ending.BalanceGAP</f>
      </c>
      <c r="G75" s="169">
        <f t="shared" si="3"/>
      </c>
    </row>
    <row r="76" spans="1:7" ht="12.75">
      <c r="A76" s="166">
        <f>payment.NumGAP</f>
      </c>
      <c r="B76" s="167">
        <f>Show.DateGAP</f>
      </c>
      <c r="C76" s="169">
        <f>Beg.BalGAP</f>
      </c>
      <c r="D76" s="168">
        <f t="shared" si="2"/>
      </c>
      <c r="E76" s="168">
        <f>PrincipalGAP</f>
      </c>
      <c r="F76" s="169">
        <f>Ending.BalanceGAP</f>
      </c>
      <c r="G76" s="169">
        <f t="shared" si="3"/>
      </c>
    </row>
    <row r="77" spans="1:7" ht="12.75">
      <c r="A77" s="166">
        <f>payment.NumGAP</f>
      </c>
      <c r="B77" s="167">
        <f>Show.DateGAP</f>
      </c>
      <c r="C77" s="169">
        <f>Beg.BalGAP</f>
      </c>
      <c r="D77" s="168">
        <f t="shared" si="2"/>
      </c>
      <c r="E77" s="168">
        <f>PrincipalGAP</f>
      </c>
      <c r="F77" s="169">
        <f>Ending.BalanceGAP</f>
      </c>
      <c r="G77" s="169">
        <f t="shared" si="3"/>
      </c>
    </row>
    <row r="78" spans="1:7" ht="12.75">
      <c r="A78" s="166">
        <f>payment.NumGAP</f>
      </c>
      <c r="B78" s="167">
        <f>Show.DateGAP</f>
      </c>
      <c r="C78" s="169">
        <f>Beg.BalGAP</f>
      </c>
      <c r="D78" s="168">
        <f t="shared" si="2"/>
      </c>
      <c r="E78" s="168">
        <f>PrincipalGAP</f>
      </c>
      <c r="F78" s="169">
        <f>Ending.BalanceGAP</f>
      </c>
      <c r="G78" s="169">
        <f t="shared" si="3"/>
      </c>
    </row>
    <row r="79" spans="1:7" ht="12.75">
      <c r="A79" s="166">
        <f>payment.NumGAP</f>
      </c>
      <c r="B79" s="167">
        <f>Show.DateGAP</f>
      </c>
      <c r="C79" s="169">
        <f>Beg.BalGAP</f>
      </c>
      <c r="D79" s="168">
        <f t="shared" si="2"/>
      </c>
      <c r="E79" s="168">
        <f>PrincipalGAP</f>
      </c>
      <c r="F79" s="169">
        <f>Ending.BalanceGAP</f>
      </c>
      <c r="G79" s="169">
        <f t="shared" si="3"/>
      </c>
    </row>
    <row r="80" spans="1:7" ht="12.75">
      <c r="A80" s="166">
        <f>payment.NumGAP</f>
      </c>
      <c r="B80" s="167">
        <f>Show.DateGAP</f>
      </c>
      <c r="C80" s="169">
        <f>Beg.BalGAP</f>
      </c>
      <c r="D80" s="168">
        <f t="shared" si="2"/>
      </c>
      <c r="E80" s="168">
        <f>PrincipalGAP</f>
      </c>
      <c r="F80" s="169">
        <f>Ending.BalanceGAP</f>
      </c>
      <c r="G80" s="169">
        <f t="shared" si="3"/>
      </c>
    </row>
    <row r="81" spans="1:7" ht="12.75">
      <c r="A81" s="166">
        <f>payment.NumGAP</f>
      </c>
      <c r="B81" s="167">
        <f>Show.DateGAP</f>
      </c>
      <c r="C81" s="169">
        <f>Beg.BalGAP</f>
      </c>
      <c r="D81" s="168">
        <f t="shared" si="2"/>
      </c>
      <c r="E81" s="168">
        <f>PrincipalGAP</f>
      </c>
      <c r="F81" s="169">
        <f>Ending.BalanceGAP</f>
      </c>
      <c r="G81" s="169">
        <f t="shared" si="3"/>
      </c>
    </row>
    <row r="82" spans="1:7" ht="12.75">
      <c r="A82" s="166">
        <f>payment.NumGAP</f>
      </c>
      <c r="B82" s="167">
        <f>Show.DateGAP</f>
      </c>
      <c r="C82" s="169">
        <f>Beg.BalGAP</f>
      </c>
      <c r="D82" s="168">
        <f t="shared" si="2"/>
      </c>
      <c r="E82" s="168">
        <f>PrincipalGAP</f>
      </c>
      <c r="F82" s="169">
        <f>Ending.BalanceGAP</f>
      </c>
      <c r="G82" s="169">
        <f t="shared" si="3"/>
      </c>
    </row>
    <row r="83" spans="1:7" ht="12.75">
      <c r="A83" s="166">
        <f>payment.NumGAP</f>
      </c>
      <c r="B83" s="167">
        <f>Show.DateGAP</f>
      </c>
      <c r="C83" s="169">
        <f>Beg.BalGAP</f>
      </c>
      <c r="D83" s="168">
        <f t="shared" si="2"/>
      </c>
      <c r="E83" s="168">
        <f>PrincipalGAP</f>
      </c>
      <c r="F83" s="169">
        <f>Ending.BalanceGAP</f>
      </c>
      <c r="G83" s="169">
        <f t="shared" si="3"/>
      </c>
    </row>
    <row r="84" spans="1:7" ht="12.75">
      <c r="A84" s="166">
        <f>payment.NumGAP</f>
      </c>
      <c r="B84" s="167">
        <f>Show.DateGAP</f>
      </c>
      <c r="C84" s="169">
        <f>Beg.BalGAP</f>
      </c>
      <c r="D84" s="168">
        <f t="shared" si="2"/>
      </c>
      <c r="E84" s="168">
        <f>PrincipalGAP</f>
      </c>
      <c r="F84" s="169">
        <f>Ending.BalanceGAP</f>
      </c>
      <c r="G84" s="169">
        <f t="shared" si="3"/>
      </c>
    </row>
    <row r="85" spans="1:7" ht="12.75">
      <c r="A85" s="166">
        <f>payment.NumGAP</f>
      </c>
      <c r="B85" s="167">
        <f>Show.DateGAP</f>
      </c>
      <c r="C85" s="169">
        <f>Beg.BalGAP</f>
      </c>
      <c r="D85" s="168">
        <f t="shared" si="2"/>
      </c>
      <c r="E85" s="168">
        <f>PrincipalGAP</f>
      </c>
      <c r="F85" s="169">
        <f>Ending.BalanceGAP</f>
      </c>
      <c r="G85" s="169">
        <f t="shared" si="3"/>
      </c>
    </row>
    <row r="86" spans="1:7" ht="12.75">
      <c r="A86" s="166">
        <f>payment.NumGAP</f>
      </c>
      <c r="B86" s="167">
        <f>Show.DateGAP</f>
      </c>
      <c r="C86" s="169">
        <f>Beg.BalGAP</f>
      </c>
      <c r="D86" s="168">
        <f aca="true" t="shared" si="4" ref="D86:D105">InterestGAP</f>
      </c>
      <c r="E86" s="168">
        <f>PrincipalGAP</f>
      </c>
      <c r="F86" s="169">
        <f>Ending.BalanceGAP</f>
      </c>
      <c r="G86" s="169">
        <f aca="true" t="shared" si="5" ref="G86:G105">IF(A86&lt;&gt;"",D86+Table_prior_interestGAP,"")</f>
      </c>
    </row>
    <row r="87" spans="1:7" ht="12.75">
      <c r="A87" s="166">
        <f>payment.NumGAP</f>
      </c>
      <c r="B87" s="167">
        <f>Show.DateGAP</f>
      </c>
      <c r="C87" s="169">
        <f>Beg.BalGAP</f>
      </c>
      <c r="D87" s="168">
        <f t="shared" si="4"/>
      </c>
      <c r="E87" s="168">
        <f>PrincipalGAP</f>
      </c>
      <c r="F87" s="169">
        <f>Ending.BalanceGAP</f>
      </c>
      <c r="G87" s="169">
        <f t="shared" si="5"/>
      </c>
    </row>
    <row r="88" spans="1:7" ht="12.75">
      <c r="A88" s="166">
        <f>payment.NumGAP</f>
      </c>
      <c r="B88" s="167">
        <f>Show.DateGAP</f>
      </c>
      <c r="C88" s="169">
        <f>Beg.BalGAP</f>
      </c>
      <c r="D88" s="168">
        <f t="shared" si="4"/>
      </c>
      <c r="E88" s="168">
        <f>PrincipalGAP</f>
      </c>
      <c r="F88" s="169">
        <f>Ending.BalanceGAP</f>
      </c>
      <c r="G88" s="169">
        <f t="shared" si="5"/>
      </c>
    </row>
    <row r="89" spans="1:7" ht="12.75">
      <c r="A89" s="166">
        <f>payment.NumGAP</f>
      </c>
      <c r="B89" s="167">
        <f>Show.DateGAP</f>
      </c>
      <c r="C89" s="169">
        <f>Beg.BalGAP</f>
      </c>
      <c r="D89" s="168">
        <f t="shared" si="4"/>
      </c>
      <c r="E89" s="168">
        <f>PrincipalGAP</f>
      </c>
      <c r="F89" s="169">
        <f>Ending.BalanceGAP</f>
      </c>
      <c r="G89" s="169">
        <f t="shared" si="5"/>
      </c>
    </row>
    <row r="90" spans="1:7" ht="12.75">
      <c r="A90" s="166">
        <f>payment.NumGAP</f>
      </c>
      <c r="B90" s="167">
        <f>Show.DateGAP</f>
      </c>
      <c r="C90" s="169">
        <f>Beg.BalGAP</f>
      </c>
      <c r="D90" s="168">
        <f t="shared" si="4"/>
      </c>
      <c r="E90" s="168">
        <f>PrincipalGAP</f>
      </c>
      <c r="F90" s="169">
        <f>Ending.BalanceGAP</f>
      </c>
      <c r="G90" s="169">
        <f t="shared" si="5"/>
      </c>
    </row>
    <row r="91" spans="1:7" ht="12.75">
      <c r="A91" s="166">
        <f>payment.NumGAP</f>
      </c>
      <c r="B91" s="167">
        <f>Show.DateGAP</f>
      </c>
      <c r="C91" s="169">
        <f>Beg.BalGAP</f>
      </c>
      <c r="D91" s="168">
        <f t="shared" si="4"/>
      </c>
      <c r="E91" s="168">
        <f>PrincipalGAP</f>
      </c>
      <c r="F91" s="169">
        <f>Ending.BalanceGAP</f>
      </c>
      <c r="G91" s="169">
        <f t="shared" si="5"/>
      </c>
    </row>
    <row r="92" spans="1:7" ht="12.75">
      <c r="A92" s="166">
        <f>payment.NumGAP</f>
      </c>
      <c r="B92" s="167">
        <f>Show.DateGAP</f>
      </c>
      <c r="C92" s="169">
        <f>Beg.BalGAP</f>
      </c>
      <c r="D92" s="168">
        <f t="shared" si="4"/>
      </c>
      <c r="E92" s="168">
        <f>PrincipalGAP</f>
      </c>
      <c r="F92" s="169">
        <f>Ending.BalanceGAP</f>
      </c>
      <c r="G92" s="169">
        <f t="shared" si="5"/>
      </c>
    </row>
    <row r="93" spans="1:7" ht="12.75">
      <c r="A93" s="166">
        <f>payment.NumGAP</f>
      </c>
      <c r="B93" s="167">
        <f>Show.DateGAP</f>
      </c>
      <c r="C93" s="169">
        <f>Beg.BalGAP</f>
      </c>
      <c r="D93" s="168">
        <f t="shared" si="4"/>
      </c>
      <c r="E93" s="168">
        <f>PrincipalGAP</f>
      </c>
      <c r="F93" s="169">
        <f>Ending.BalanceGAP</f>
      </c>
      <c r="G93" s="169">
        <f t="shared" si="5"/>
      </c>
    </row>
    <row r="94" spans="1:7" ht="12.75">
      <c r="A94" s="166">
        <f>payment.NumGAP</f>
      </c>
      <c r="B94" s="167">
        <f>Show.DateGAP</f>
      </c>
      <c r="C94" s="169">
        <f>Beg.BalGAP</f>
      </c>
      <c r="D94" s="168">
        <f t="shared" si="4"/>
      </c>
      <c r="E94" s="168">
        <f>PrincipalGAP</f>
      </c>
      <c r="F94" s="169">
        <f>Ending.BalanceGAP</f>
      </c>
      <c r="G94" s="169">
        <f t="shared" si="5"/>
      </c>
    </row>
    <row r="95" spans="1:7" ht="12.75">
      <c r="A95" s="166">
        <f>payment.NumGAP</f>
      </c>
      <c r="B95" s="167">
        <f>Show.DateGAP</f>
      </c>
      <c r="C95" s="169">
        <f>Beg.BalGAP</f>
      </c>
      <c r="D95" s="168">
        <f t="shared" si="4"/>
      </c>
      <c r="E95" s="168">
        <f>PrincipalGAP</f>
      </c>
      <c r="F95" s="169">
        <f>Ending.BalanceGAP</f>
      </c>
      <c r="G95" s="169">
        <f t="shared" si="5"/>
      </c>
    </row>
    <row r="96" spans="1:7" ht="12.75">
      <c r="A96" s="166">
        <f>payment.NumGAP</f>
      </c>
      <c r="B96" s="167">
        <f>Show.DateGAP</f>
      </c>
      <c r="C96" s="169">
        <f>Beg.BalGAP</f>
      </c>
      <c r="D96" s="168">
        <f t="shared" si="4"/>
      </c>
      <c r="E96" s="168">
        <f>PrincipalGAP</f>
      </c>
      <c r="F96" s="169">
        <f>Ending.BalanceGAP</f>
      </c>
      <c r="G96" s="169">
        <f t="shared" si="5"/>
      </c>
    </row>
    <row r="97" spans="1:7" ht="12.75">
      <c r="A97" s="166">
        <f>payment.NumGAP</f>
      </c>
      <c r="B97" s="167">
        <f>Show.DateGAP</f>
      </c>
      <c r="C97" s="169">
        <f>Beg.BalGAP</f>
      </c>
      <c r="D97" s="168">
        <f t="shared" si="4"/>
      </c>
      <c r="E97" s="168">
        <f>PrincipalGAP</f>
      </c>
      <c r="F97" s="169">
        <f>Ending.BalanceGAP</f>
      </c>
      <c r="G97" s="169">
        <f t="shared" si="5"/>
      </c>
    </row>
    <row r="98" spans="1:7" ht="12.75">
      <c r="A98" s="166">
        <f>payment.NumGAP</f>
      </c>
      <c r="B98" s="167">
        <f>Show.DateGAP</f>
      </c>
      <c r="C98" s="169">
        <f>Beg.BalGAP</f>
      </c>
      <c r="D98" s="168">
        <f t="shared" si="4"/>
      </c>
      <c r="E98" s="168">
        <f>PrincipalGAP</f>
      </c>
      <c r="F98" s="169">
        <f>Ending.BalanceGAP</f>
      </c>
      <c r="G98" s="169">
        <f t="shared" si="5"/>
      </c>
    </row>
    <row r="99" spans="1:7" ht="12.75">
      <c r="A99" s="166">
        <f>payment.NumGAP</f>
      </c>
      <c r="B99" s="167">
        <f>Show.DateGAP</f>
      </c>
      <c r="C99" s="169">
        <f>Beg.BalGAP</f>
      </c>
      <c r="D99" s="168">
        <f t="shared" si="4"/>
      </c>
      <c r="E99" s="168">
        <f>PrincipalGAP</f>
      </c>
      <c r="F99" s="169">
        <f>Ending.BalanceGAP</f>
      </c>
      <c r="G99" s="169">
        <f t="shared" si="5"/>
      </c>
    </row>
    <row r="100" spans="1:7" ht="12.75">
      <c r="A100" s="166">
        <f>payment.NumGAP</f>
      </c>
      <c r="B100" s="167">
        <f>Show.DateGAP</f>
      </c>
      <c r="C100" s="169">
        <f>Beg.BalGAP</f>
      </c>
      <c r="D100" s="168">
        <f t="shared" si="4"/>
      </c>
      <c r="E100" s="168">
        <f>PrincipalGAP</f>
      </c>
      <c r="F100" s="169">
        <f>Ending.BalanceGAP</f>
      </c>
      <c r="G100" s="169">
        <f t="shared" si="5"/>
      </c>
    </row>
    <row r="101" spans="1:7" ht="12.75">
      <c r="A101" s="166">
        <f>payment.NumGAP</f>
      </c>
      <c r="B101" s="167">
        <f>Show.DateGAP</f>
      </c>
      <c r="C101" s="169">
        <f>Beg.BalGAP</f>
      </c>
      <c r="D101" s="168">
        <f t="shared" si="4"/>
      </c>
      <c r="E101" s="168">
        <f>PrincipalGAP</f>
      </c>
      <c r="F101" s="169">
        <f>Ending.BalanceGAP</f>
      </c>
      <c r="G101" s="169">
        <f t="shared" si="5"/>
      </c>
    </row>
    <row r="102" spans="1:7" ht="12.75">
      <c r="A102" s="166">
        <f>payment.NumGAP</f>
      </c>
      <c r="B102" s="167">
        <f>Show.DateGAP</f>
      </c>
      <c r="C102" s="169">
        <f>Beg.BalGAP</f>
      </c>
      <c r="D102" s="168">
        <f t="shared" si="4"/>
      </c>
      <c r="E102" s="168">
        <f>PrincipalGAP</f>
      </c>
      <c r="F102" s="169">
        <f>Ending.BalanceGAP</f>
      </c>
      <c r="G102" s="169">
        <f t="shared" si="5"/>
      </c>
    </row>
    <row r="103" spans="1:7" ht="12.75">
      <c r="A103" s="166">
        <f>payment.NumGAP</f>
      </c>
      <c r="B103" s="167">
        <f>Show.DateGAP</f>
      </c>
      <c r="C103" s="169">
        <f>Beg.BalGAP</f>
      </c>
      <c r="D103" s="168">
        <f t="shared" si="4"/>
      </c>
      <c r="E103" s="168">
        <f>PrincipalGAP</f>
      </c>
      <c r="F103" s="169">
        <f>Ending.BalanceGAP</f>
      </c>
      <c r="G103" s="169">
        <f t="shared" si="5"/>
      </c>
    </row>
    <row r="104" spans="1:7" ht="12.75">
      <c r="A104" s="166">
        <f>payment.NumGAP</f>
      </c>
      <c r="B104" s="167">
        <f>Show.DateGAP</f>
      </c>
      <c r="C104" s="169">
        <f>Beg.BalGAP</f>
      </c>
      <c r="D104" s="168">
        <f t="shared" si="4"/>
      </c>
      <c r="E104" s="168">
        <f>PrincipalGAP</f>
      </c>
      <c r="F104" s="169">
        <f>Ending.BalanceGAP</f>
      </c>
      <c r="G104" s="169">
        <f t="shared" si="5"/>
      </c>
    </row>
    <row r="105" spans="1:7" ht="12.75">
      <c r="A105" s="166">
        <f>payment.NumGAP</f>
      </c>
      <c r="B105" s="167">
        <f>Show.DateGAP</f>
      </c>
      <c r="C105" s="169">
        <f>Beg.BalGAP</f>
      </c>
      <c r="D105" s="168">
        <f t="shared" si="4"/>
      </c>
      <c r="E105" s="168">
        <f>PrincipalGAP</f>
      </c>
      <c r="F105" s="169">
        <f>Ending.BalanceGAP</f>
      </c>
      <c r="G105" s="169">
        <f t="shared" si="5"/>
      </c>
    </row>
  </sheetData>
  <sheetProtection/>
  <mergeCells count="4">
    <mergeCell ref="A1:G1"/>
    <mergeCell ref="A5:G5"/>
    <mergeCell ref="A18:G18"/>
    <mergeCell ref="D11:G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J6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2.140625" style="0" customWidth="1"/>
    <col min="2" max="2" width="20.421875" style="0" customWidth="1"/>
    <col min="3" max="3" width="10.7109375" style="0" customWidth="1"/>
    <col min="4" max="4" width="16.00390625" style="0" customWidth="1"/>
    <col min="5" max="5" width="10.28125" style="0" customWidth="1"/>
    <col min="6" max="6" width="15.421875" style="0" customWidth="1"/>
    <col min="7" max="7" width="10.28125" style="0" customWidth="1"/>
    <col min="8" max="8" width="16.7109375" style="0" customWidth="1"/>
    <col min="9" max="9" width="9.421875" style="0" customWidth="1"/>
  </cols>
  <sheetData>
    <row r="1" spans="2:10" ht="15.75">
      <c r="B1" s="389" t="s">
        <v>101</v>
      </c>
      <c r="C1" s="389"/>
      <c r="D1" s="389"/>
      <c r="E1" s="3"/>
      <c r="F1" s="3"/>
      <c r="G1" s="3"/>
      <c r="H1" s="3"/>
      <c r="I1" s="3"/>
      <c r="J1" s="3"/>
    </row>
    <row r="2" spans="2:10" ht="16.5" thickBot="1">
      <c r="B2" s="389" t="str">
        <f>' Cash Flow Yr 1'!B2</f>
        <v> Company Name:</v>
      </c>
      <c r="C2" s="389"/>
      <c r="D2" s="389"/>
      <c r="E2" s="3"/>
      <c r="F2" s="3"/>
      <c r="G2" s="3"/>
      <c r="H2" s="3"/>
      <c r="I2" s="3"/>
      <c r="J2" s="3"/>
    </row>
    <row r="3" spans="1:9" ht="15">
      <c r="A3" s="20"/>
      <c r="B3" s="21"/>
      <c r="C3" s="417" t="str">
        <f>'Balance Sheet'!D5</f>
        <v>End of Year 1</v>
      </c>
      <c r="D3" s="417"/>
      <c r="E3" s="417" t="str">
        <f>'Balance Sheet'!F5</f>
        <v>End of Year 2</v>
      </c>
      <c r="F3" s="417"/>
      <c r="G3" s="418" t="str">
        <f>'Balance Sheet'!H5</f>
        <v>End of Year 3</v>
      </c>
      <c r="H3" s="419"/>
      <c r="I3" s="22" t="s">
        <v>60</v>
      </c>
    </row>
    <row r="4" spans="1:9" ht="15.75">
      <c r="A4" s="28" t="s">
        <v>62</v>
      </c>
      <c r="B4" s="30"/>
      <c r="C4" s="31"/>
      <c r="D4" s="31"/>
      <c r="E4" s="31"/>
      <c r="F4" s="31"/>
      <c r="G4" s="32"/>
      <c r="H4" s="32"/>
      <c r="I4" s="37"/>
    </row>
    <row r="5" spans="1:9" ht="14.25" customHeight="1">
      <c r="A5" s="394" t="s">
        <v>63</v>
      </c>
      <c r="B5" s="23" t="s">
        <v>64</v>
      </c>
      <c r="C5" s="24">
        <f>'Balance Sheet'!D11</f>
        <v>0</v>
      </c>
      <c r="D5" s="411" t="e">
        <f>C5/C6</f>
        <v>#DIV/0!</v>
      </c>
      <c r="E5" s="24">
        <f>'Balance Sheet'!F11</f>
        <v>0</v>
      </c>
      <c r="F5" s="415" t="e">
        <f>E5/E6</f>
        <v>#DIV/0!</v>
      </c>
      <c r="G5" s="24">
        <f>'Balance Sheet'!H11</f>
        <v>0</v>
      </c>
      <c r="H5" s="411" t="e">
        <f>G5/G6</f>
        <v>#DIV/0!</v>
      </c>
      <c r="I5" s="412"/>
    </row>
    <row r="6" spans="1:9" ht="14.25" customHeight="1">
      <c r="A6" s="395"/>
      <c r="B6" s="23" t="s">
        <v>65</v>
      </c>
      <c r="C6" s="24">
        <f>'Balance Sheet'!D30</f>
        <v>0</v>
      </c>
      <c r="D6" s="411"/>
      <c r="E6" s="24">
        <f>'Balance Sheet'!F30</f>
        <v>0</v>
      </c>
      <c r="F6" s="416"/>
      <c r="G6" s="24">
        <f>'Balance Sheet'!H30</f>
        <v>0</v>
      </c>
      <c r="H6" s="411"/>
      <c r="I6" s="412"/>
    </row>
    <row r="7" spans="1:9" ht="14.25" customHeight="1">
      <c r="A7" s="394" t="s">
        <v>61</v>
      </c>
      <c r="B7" s="396"/>
      <c r="C7" s="397"/>
      <c r="D7" s="397"/>
      <c r="E7" s="397"/>
      <c r="F7" s="397"/>
      <c r="G7" s="397"/>
      <c r="H7" s="397"/>
      <c r="I7" s="398"/>
    </row>
    <row r="8" spans="1:9" ht="26.25" customHeight="1">
      <c r="A8" s="395"/>
      <c r="B8" s="399"/>
      <c r="C8" s="400"/>
      <c r="D8" s="400"/>
      <c r="E8" s="400"/>
      <c r="F8" s="400"/>
      <c r="G8" s="400"/>
      <c r="H8" s="400"/>
      <c r="I8" s="401"/>
    </row>
    <row r="9" spans="1:9" ht="14.25">
      <c r="A9" s="394" t="s">
        <v>66</v>
      </c>
      <c r="B9" s="23" t="s">
        <v>67</v>
      </c>
      <c r="C9" s="24">
        <f>'Balance Sheet'!D7+'Balance Sheet'!D8</f>
        <v>0</v>
      </c>
      <c r="D9" s="411" t="e">
        <f>C9/C10</f>
        <v>#DIV/0!</v>
      </c>
      <c r="E9" s="24">
        <f>'Balance Sheet'!F7+'Balance Sheet'!F8</f>
        <v>0</v>
      </c>
      <c r="F9" s="415" t="e">
        <f>E9/E10</f>
        <v>#DIV/0!</v>
      </c>
      <c r="G9" s="24">
        <f>'Balance Sheet'!H7+'Balance Sheet'!H8</f>
        <v>0</v>
      </c>
      <c r="H9" s="411" t="e">
        <f>G9/G10</f>
        <v>#DIV/0!</v>
      </c>
      <c r="I9" s="412"/>
    </row>
    <row r="10" spans="1:9" ht="14.25">
      <c r="A10" s="395"/>
      <c r="B10" s="23" t="s">
        <v>65</v>
      </c>
      <c r="C10" s="24">
        <f>'Balance Sheet'!D30</f>
        <v>0</v>
      </c>
      <c r="D10" s="411"/>
      <c r="E10" s="24">
        <f>'Balance Sheet'!F30</f>
        <v>0</v>
      </c>
      <c r="F10" s="416"/>
      <c r="G10" s="24">
        <f>'Balance Sheet'!H30</f>
        <v>0</v>
      </c>
      <c r="H10" s="411"/>
      <c r="I10" s="412"/>
    </row>
    <row r="11" spans="1:9" ht="14.25" customHeight="1">
      <c r="A11" s="394" t="s">
        <v>61</v>
      </c>
      <c r="B11" s="396"/>
      <c r="C11" s="397"/>
      <c r="D11" s="397"/>
      <c r="E11" s="397"/>
      <c r="F11" s="397"/>
      <c r="G11" s="397"/>
      <c r="H11" s="397"/>
      <c r="I11" s="398"/>
    </row>
    <row r="12" spans="1:9" ht="27" customHeight="1">
      <c r="A12" s="395"/>
      <c r="B12" s="399"/>
      <c r="C12" s="400"/>
      <c r="D12" s="400"/>
      <c r="E12" s="400"/>
      <c r="F12" s="400"/>
      <c r="G12" s="400"/>
      <c r="H12" s="400"/>
      <c r="I12" s="401"/>
    </row>
    <row r="13" spans="1:9" ht="14.25" customHeight="1">
      <c r="A13" s="394" t="s">
        <v>68</v>
      </c>
      <c r="B13" s="23" t="s">
        <v>69</v>
      </c>
      <c r="C13" s="24">
        <f>'Balance Sheet'!D39</f>
        <v>0</v>
      </c>
      <c r="D13" s="411" t="e">
        <f>C13/C14</f>
        <v>#DIV/0!</v>
      </c>
      <c r="E13" s="24">
        <f>'Balance Sheet'!F39</f>
        <v>0</v>
      </c>
      <c r="F13" s="413" t="e">
        <f>E13/E14</f>
        <v>#DIV/0!</v>
      </c>
      <c r="G13" s="24">
        <f>'Balance Sheet'!H39</f>
        <v>0</v>
      </c>
      <c r="H13" s="410" t="e">
        <f>G13/G14</f>
        <v>#DIV/0!</v>
      </c>
      <c r="I13" s="412"/>
    </row>
    <row r="14" spans="1:9" ht="14.25" customHeight="1">
      <c r="A14" s="395"/>
      <c r="B14" s="23" t="s">
        <v>70</v>
      </c>
      <c r="C14" s="24">
        <f>'Balance Sheet'!D41</f>
        <v>0</v>
      </c>
      <c r="D14" s="411"/>
      <c r="E14" s="24">
        <f>'Balance Sheet'!F41</f>
        <v>0</v>
      </c>
      <c r="F14" s="414"/>
      <c r="G14" s="24">
        <f>'Balance Sheet'!H41</f>
        <v>0</v>
      </c>
      <c r="H14" s="410"/>
      <c r="I14" s="412"/>
    </row>
    <row r="15" spans="1:9" ht="14.25" customHeight="1">
      <c r="A15" s="394" t="s">
        <v>61</v>
      </c>
      <c r="B15" s="396"/>
      <c r="C15" s="397"/>
      <c r="D15" s="397"/>
      <c r="E15" s="397"/>
      <c r="F15" s="397"/>
      <c r="G15" s="397"/>
      <c r="H15" s="397"/>
      <c r="I15" s="398"/>
    </row>
    <row r="16" spans="1:9" ht="23.25" customHeight="1">
      <c r="A16" s="395"/>
      <c r="B16" s="399"/>
      <c r="C16" s="400"/>
      <c r="D16" s="400"/>
      <c r="E16" s="400"/>
      <c r="F16" s="400"/>
      <c r="G16" s="400"/>
      <c r="H16" s="400"/>
      <c r="I16" s="401"/>
    </row>
    <row r="17" spans="1:9" ht="15.75">
      <c r="A17" s="29" t="s">
        <v>71</v>
      </c>
      <c r="B17" s="33"/>
      <c r="C17" s="34"/>
      <c r="D17" s="35"/>
      <c r="E17" s="34"/>
      <c r="F17" s="35"/>
      <c r="G17" s="34"/>
      <c r="H17" s="35"/>
      <c r="I17" s="33"/>
    </row>
    <row r="18" spans="1:9" ht="14.25" customHeight="1">
      <c r="A18" s="394" t="s">
        <v>72</v>
      </c>
      <c r="B18" s="23" t="s">
        <v>73</v>
      </c>
      <c r="C18" s="24">
        <f>'Income Stmt'!C8</f>
        <v>0</v>
      </c>
      <c r="D18" s="411" t="e">
        <f>C18/C19</f>
        <v>#DIV/0!</v>
      </c>
      <c r="E18" s="24">
        <f>'Income Stmt'!G8</f>
        <v>0</v>
      </c>
      <c r="F18" s="411" t="e">
        <f>E18/E19</f>
        <v>#DIV/0!</v>
      </c>
      <c r="G18" s="24">
        <f>'Income Stmt'!K8</f>
        <v>0</v>
      </c>
      <c r="H18" s="411" t="e">
        <f>G18/G19</f>
        <v>#DIV/0!</v>
      </c>
      <c r="I18" s="412"/>
    </row>
    <row r="19" spans="1:9" ht="14.25" customHeight="1">
      <c r="A19" s="395"/>
      <c r="B19" s="23" t="s">
        <v>74</v>
      </c>
      <c r="C19" s="24">
        <f>'Income Stmt'!C6</f>
        <v>0</v>
      </c>
      <c r="D19" s="411"/>
      <c r="E19" s="24">
        <f>'Income Stmt'!G6</f>
        <v>0</v>
      </c>
      <c r="F19" s="411"/>
      <c r="G19" s="24">
        <f>'Income Stmt'!K6</f>
        <v>0</v>
      </c>
      <c r="H19" s="411"/>
      <c r="I19" s="412"/>
    </row>
    <row r="20" spans="1:9" ht="14.25" customHeight="1">
      <c r="A20" s="394" t="s">
        <v>61</v>
      </c>
      <c r="B20" s="396"/>
      <c r="C20" s="397"/>
      <c r="D20" s="397"/>
      <c r="E20" s="397"/>
      <c r="F20" s="397"/>
      <c r="G20" s="397"/>
      <c r="H20" s="397"/>
      <c r="I20" s="398"/>
    </row>
    <row r="21" spans="1:9" ht="23.25" customHeight="1">
      <c r="A21" s="395"/>
      <c r="B21" s="399"/>
      <c r="C21" s="400"/>
      <c r="D21" s="400"/>
      <c r="E21" s="400"/>
      <c r="F21" s="400"/>
      <c r="G21" s="400"/>
      <c r="H21" s="400"/>
      <c r="I21" s="401"/>
    </row>
    <row r="22" spans="1:9" ht="14.25" customHeight="1">
      <c r="A22" s="394" t="s">
        <v>75</v>
      </c>
      <c r="B22" s="23" t="s">
        <v>76</v>
      </c>
      <c r="C22" s="24">
        <f>'Income Stmt'!C28</f>
        <v>0</v>
      </c>
      <c r="D22" s="410" t="e">
        <f>C22/C23</f>
        <v>#DIV/0!</v>
      </c>
      <c r="E22" s="24">
        <f>'Income Stmt'!G28</f>
        <v>0</v>
      </c>
      <c r="F22" s="411" t="e">
        <f>E22/E23</f>
        <v>#DIV/0!</v>
      </c>
      <c r="G22" s="24">
        <f>'Income Stmt'!K28</f>
        <v>0</v>
      </c>
      <c r="H22" s="411" t="e">
        <f>G22/G23</f>
        <v>#DIV/0!</v>
      </c>
      <c r="I22" s="412"/>
    </row>
    <row r="23" spans="1:9" ht="14.25" customHeight="1">
      <c r="A23" s="395"/>
      <c r="B23" s="23" t="s">
        <v>74</v>
      </c>
      <c r="C23" s="24">
        <f>'Income Stmt'!C6</f>
        <v>0</v>
      </c>
      <c r="D23" s="410"/>
      <c r="E23" s="24">
        <f>'Income Stmt'!G6</f>
        <v>0</v>
      </c>
      <c r="F23" s="411"/>
      <c r="G23" s="24">
        <f>'Income Stmt'!K6</f>
        <v>0</v>
      </c>
      <c r="H23" s="411"/>
      <c r="I23" s="412"/>
    </row>
    <row r="24" spans="1:9" ht="14.25" customHeight="1">
      <c r="A24" s="394" t="s">
        <v>61</v>
      </c>
      <c r="B24" s="396"/>
      <c r="C24" s="397"/>
      <c r="D24" s="397"/>
      <c r="E24" s="397"/>
      <c r="F24" s="397"/>
      <c r="G24" s="397"/>
      <c r="H24" s="397"/>
      <c r="I24" s="398"/>
    </row>
    <row r="25" spans="1:9" ht="23.25" customHeight="1">
      <c r="A25" s="395"/>
      <c r="B25" s="399"/>
      <c r="C25" s="400"/>
      <c r="D25" s="400"/>
      <c r="E25" s="400"/>
      <c r="F25" s="400"/>
      <c r="G25" s="400"/>
      <c r="H25" s="400"/>
      <c r="I25" s="401"/>
    </row>
    <row r="26" spans="1:9" ht="15.75">
      <c r="A26" s="29" t="s">
        <v>77</v>
      </c>
      <c r="B26" s="33"/>
      <c r="C26" s="34"/>
      <c r="D26" s="35"/>
      <c r="E26" s="34"/>
      <c r="F26" s="35"/>
      <c r="G26" s="34"/>
      <c r="H26" s="35"/>
      <c r="I26" s="33"/>
    </row>
    <row r="27" spans="1:9" ht="14.25" customHeight="1">
      <c r="A27" s="394" t="s">
        <v>78</v>
      </c>
      <c r="B27" s="23" t="s">
        <v>79</v>
      </c>
      <c r="C27" s="24">
        <f>'Income Stmt'!C6</f>
        <v>0</v>
      </c>
      <c r="D27" s="411" t="e">
        <f>C27/C28</f>
        <v>#DIV/0!</v>
      </c>
      <c r="E27" s="24">
        <f>'Income Stmt'!G6</f>
        <v>0</v>
      </c>
      <c r="F27" s="411" t="e">
        <f>E27/E28</f>
        <v>#DIV/0!</v>
      </c>
      <c r="G27" s="24">
        <f>'Income Stmt'!K6</f>
        <v>0</v>
      </c>
      <c r="H27" s="411" t="e">
        <f>G27/G28</f>
        <v>#DIV/0!</v>
      </c>
      <c r="I27" s="412"/>
    </row>
    <row r="28" spans="1:9" ht="14.25" customHeight="1">
      <c r="A28" s="395"/>
      <c r="B28" s="23" t="s">
        <v>58</v>
      </c>
      <c r="C28" s="24">
        <f>'Balance Sheet'!D22</f>
        <v>0</v>
      </c>
      <c r="D28" s="411"/>
      <c r="E28" s="24">
        <f>'Balance Sheet'!F22</f>
        <v>0</v>
      </c>
      <c r="F28" s="411"/>
      <c r="G28" s="24">
        <f>'Balance Sheet'!H22</f>
        <v>0</v>
      </c>
      <c r="H28" s="411"/>
      <c r="I28" s="412"/>
    </row>
    <row r="29" spans="1:9" ht="14.25" customHeight="1">
      <c r="A29" s="394" t="s">
        <v>61</v>
      </c>
      <c r="B29" s="396"/>
      <c r="C29" s="397"/>
      <c r="D29" s="397"/>
      <c r="E29" s="397"/>
      <c r="F29" s="397"/>
      <c r="G29" s="397"/>
      <c r="H29" s="397"/>
      <c r="I29" s="398"/>
    </row>
    <row r="30" spans="1:9" ht="23.25" customHeight="1">
      <c r="A30" s="395"/>
      <c r="B30" s="399"/>
      <c r="C30" s="400"/>
      <c r="D30" s="400"/>
      <c r="E30" s="400"/>
      <c r="F30" s="400"/>
      <c r="G30" s="400"/>
      <c r="H30" s="400"/>
      <c r="I30" s="401"/>
    </row>
    <row r="31" spans="1:9" ht="14.25" customHeight="1">
      <c r="A31" s="394" t="s">
        <v>80</v>
      </c>
      <c r="B31" s="23" t="s">
        <v>76</v>
      </c>
      <c r="C31" s="24">
        <f>'Income Stmt'!C28</f>
        <v>0</v>
      </c>
      <c r="D31" s="410" t="e">
        <f>C31/C32</f>
        <v>#DIV/0!</v>
      </c>
      <c r="E31" s="24">
        <f>'Income Stmt'!G28</f>
        <v>0</v>
      </c>
      <c r="F31" s="411" t="e">
        <f>E31/E32</f>
        <v>#DIV/0!</v>
      </c>
      <c r="G31" s="24">
        <f>'Income Stmt'!K28</f>
        <v>0</v>
      </c>
      <c r="H31" s="411" t="e">
        <f>G31/G32</f>
        <v>#DIV/0!</v>
      </c>
      <c r="I31" s="412"/>
    </row>
    <row r="32" spans="1:9" ht="14.25" customHeight="1">
      <c r="A32" s="395"/>
      <c r="B32" s="23" t="s">
        <v>58</v>
      </c>
      <c r="C32" s="24">
        <f>'Balance Sheet'!D22</f>
        <v>0</v>
      </c>
      <c r="D32" s="410"/>
      <c r="E32" s="24">
        <f>'Balance Sheet'!F22</f>
        <v>0</v>
      </c>
      <c r="F32" s="411"/>
      <c r="G32" s="24">
        <f>'Balance Sheet'!H22</f>
        <v>0</v>
      </c>
      <c r="H32" s="411"/>
      <c r="I32" s="412"/>
    </row>
    <row r="33" spans="1:9" ht="14.25" customHeight="1">
      <c r="A33" s="394" t="s">
        <v>61</v>
      </c>
      <c r="B33" s="396"/>
      <c r="C33" s="397"/>
      <c r="D33" s="397"/>
      <c r="E33" s="397"/>
      <c r="F33" s="397"/>
      <c r="G33" s="397"/>
      <c r="H33" s="397"/>
      <c r="I33" s="398"/>
    </row>
    <row r="34" spans="1:9" ht="23.25" customHeight="1">
      <c r="A34" s="395"/>
      <c r="B34" s="399"/>
      <c r="C34" s="400"/>
      <c r="D34" s="400"/>
      <c r="E34" s="400"/>
      <c r="F34" s="400"/>
      <c r="G34" s="400"/>
      <c r="H34" s="400"/>
      <c r="I34" s="401"/>
    </row>
    <row r="35" spans="1:9" ht="14.25" customHeight="1">
      <c r="A35" s="394" t="s">
        <v>81</v>
      </c>
      <c r="B35" s="23" t="s">
        <v>76</v>
      </c>
      <c r="C35" s="24">
        <f>'Income Stmt'!C28</f>
        <v>0</v>
      </c>
      <c r="D35" s="410" t="e">
        <f>C35/C36</f>
        <v>#DIV/0!</v>
      </c>
      <c r="E35" s="24">
        <f>'Income Stmt'!G28</f>
        <v>0</v>
      </c>
      <c r="F35" s="411" t="e">
        <f>E35/E36</f>
        <v>#DIV/0!</v>
      </c>
      <c r="G35" s="24">
        <f>'Income Stmt'!K28</f>
        <v>0</v>
      </c>
      <c r="H35" s="411" t="e">
        <f>G35/G36</f>
        <v>#DIV/0!</v>
      </c>
      <c r="I35" s="412"/>
    </row>
    <row r="36" spans="1:9" ht="14.25" customHeight="1">
      <c r="A36" s="395"/>
      <c r="B36" s="23" t="s">
        <v>70</v>
      </c>
      <c r="C36" s="24">
        <f>'Balance Sheet'!D41</f>
        <v>0</v>
      </c>
      <c r="D36" s="410"/>
      <c r="E36" s="24">
        <f>'Balance Sheet'!F41</f>
        <v>0</v>
      </c>
      <c r="F36" s="411"/>
      <c r="G36" s="24">
        <f>'Balance Sheet'!H41</f>
        <v>0</v>
      </c>
      <c r="H36" s="411"/>
      <c r="I36" s="412"/>
    </row>
    <row r="37" spans="1:9" ht="14.25" customHeight="1">
      <c r="A37" s="394" t="s">
        <v>61</v>
      </c>
      <c r="B37" s="396"/>
      <c r="C37" s="397"/>
      <c r="D37" s="397"/>
      <c r="E37" s="397"/>
      <c r="F37" s="397"/>
      <c r="G37" s="397"/>
      <c r="H37" s="397"/>
      <c r="I37" s="398"/>
    </row>
    <row r="38" spans="1:9" ht="21" customHeight="1">
      <c r="A38" s="395"/>
      <c r="B38" s="399"/>
      <c r="C38" s="400"/>
      <c r="D38" s="400"/>
      <c r="E38" s="400"/>
      <c r="F38" s="400"/>
      <c r="G38" s="400"/>
      <c r="H38" s="400"/>
      <c r="I38" s="401"/>
    </row>
    <row r="39" spans="1:9" ht="15.75">
      <c r="A39" s="29" t="s">
        <v>82</v>
      </c>
      <c r="B39" s="33"/>
      <c r="C39" s="34"/>
      <c r="D39" s="35"/>
      <c r="E39" s="34"/>
      <c r="F39" s="35"/>
      <c r="G39" s="34"/>
      <c r="H39" s="35"/>
      <c r="I39" s="33"/>
    </row>
    <row r="40" spans="1:9" ht="19.5" customHeight="1">
      <c r="A40" s="394" t="s">
        <v>83</v>
      </c>
      <c r="B40" s="25" t="s">
        <v>11</v>
      </c>
      <c r="C40" s="26">
        <f>'Income Stmt'!C7</f>
        <v>0</v>
      </c>
      <c r="D40" s="420" t="e">
        <f>C40/C41</f>
        <v>#DIV/0!</v>
      </c>
      <c r="E40" s="26">
        <f>'Income Stmt'!G7</f>
        <v>0</v>
      </c>
      <c r="F40" s="408" t="e">
        <f>E40/E41</f>
        <v>#DIV/0!</v>
      </c>
      <c r="G40" s="26">
        <f>'Income Stmt'!K7</f>
        <v>0</v>
      </c>
      <c r="H40" s="408" t="e">
        <f>G40/G41</f>
        <v>#DIV/0!</v>
      </c>
      <c r="I40" s="409"/>
    </row>
    <row r="41" spans="1:9" ht="15.75" customHeight="1">
      <c r="A41" s="395"/>
      <c r="B41" s="25" t="s">
        <v>4</v>
      </c>
      <c r="C41" s="26">
        <f>'Balance Sheet'!D9</f>
        <v>0</v>
      </c>
      <c r="D41" s="420"/>
      <c r="E41" s="26">
        <f>'Balance Sheet'!F9</f>
        <v>0</v>
      </c>
      <c r="F41" s="408"/>
      <c r="G41" s="26">
        <f>'Balance Sheet'!F9</f>
        <v>0</v>
      </c>
      <c r="H41" s="408"/>
      <c r="I41" s="409"/>
    </row>
    <row r="42" spans="1:9" ht="15.75" customHeight="1">
      <c r="A42" s="394" t="s">
        <v>61</v>
      </c>
      <c r="B42" s="396"/>
      <c r="C42" s="397"/>
      <c r="D42" s="397"/>
      <c r="E42" s="397"/>
      <c r="F42" s="397"/>
      <c r="G42" s="397"/>
      <c r="H42" s="397"/>
      <c r="I42" s="398"/>
    </row>
    <row r="43" spans="1:9" ht="23.25" customHeight="1">
      <c r="A43" s="395"/>
      <c r="B43" s="399"/>
      <c r="C43" s="400"/>
      <c r="D43" s="400"/>
      <c r="E43" s="400"/>
      <c r="F43" s="400"/>
      <c r="G43" s="400"/>
      <c r="H43" s="400"/>
      <c r="I43" s="401"/>
    </row>
    <row r="44" spans="1:9" ht="14.25" customHeight="1">
      <c r="A44" s="394" t="s">
        <v>84</v>
      </c>
      <c r="B44" s="25">
        <v>360</v>
      </c>
      <c r="C44" s="1">
        <f>B44</f>
        <v>360</v>
      </c>
      <c r="D44" s="408" t="e">
        <f>360/D40</f>
        <v>#DIV/0!</v>
      </c>
      <c r="E44" s="1">
        <f>B44</f>
        <v>360</v>
      </c>
      <c r="F44" s="408" t="e">
        <f>360/F40</f>
        <v>#DIV/0!</v>
      </c>
      <c r="G44" s="1">
        <f>B44</f>
        <v>360</v>
      </c>
      <c r="H44" s="408" t="e">
        <f>360/H40</f>
        <v>#DIV/0!</v>
      </c>
      <c r="I44" s="409"/>
    </row>
    <row r="45" spans="1:9" ht="17.25" customHeight="1">
      <c r="A45" s="395"/>
      <c r="B45" s="25" t="s">
        <v>83</v>
      </c>
      <c r="C45" s="26" t="e">
        <f>D40</f>
        <v>#DIV/0!</v>
      </c>
      <c r="D45" s="408"/>
      <c r="E45" s="26" t="e">
        <f>F40</f>
        <v>#DIV/0!</v>
      </c>
      <c r="F45" s="408"/>
      <c r="G45" s="26" t="e">
        <f>H40</f>
        <v>#DIV/0!</v>
      </c>
      <c r="H45" s="408"/>
      <c r="I45" s="409"/>
    </row>
    <row r="46" spans="1:9" ht="17.25" customHeight="1">
      <c r="A46" s="394" t="s">
        <v>61</v>
      </c>
      <c r="B46" s="396"/>
      <c r="C46" s="397"/>
      <c r="D46" s="397"/>
      <c r="E46" s="397"/>
      <c r="F46" s="397"/>
      <c r="G46" s="397"/>
      <c r="H46" s="397"/>
      <c r="I46" s="398"/>
    </row>
    <row r="47" spans="1:9" ht="23.25" customHeight="1">
      <c r="A47" s="395"/>
      <c r="B47" s="399"/>
      <c r="C47" s="400"/>
      <c r="D47" s="400"/>
      <c r="E47" s="400"/>
      <c r="F47" s="400"/>
      <c r="G47" s="400"/>
      <c r="H47" s="400"/>
      <c r="I47" s="401"/>
    </row>
    <row r="48" spans="1:9" ht="18.75" customHeight="1">
      <c r="A48" s="394" t="s">
        <v>85</v>
      </c>
      <c r="B48" s="25" t="s">
        <v>74</v>
      </c>
      <c r="C48" s="26">
        <f>'Income Stmt'!C6</f>
        <v>0</v>
      </c>
      <c r="D48" s="420" t="e">
        <f>C48/C49</f>
        <v>#DIV/0!</v>
      </c>
      <c r="E48" s="26">
        <f>'Income Stmt'!G6</f>
        <v>0</v>
      </c>
      <c r="F48" s="420" t="e">
        <f>E48/E49</f>
        <v>#DIV/0!</v>
      </c>
      <c r="G48" s="26">
        <f>'Income Stmt'!K6</f>
        <v>0</v>
      </c>
      <c r="H48" s="420" t="e">
        <f>G48/G49</f>
        <v>#DIV/0!</v>
      </c>
      <c r="I48" s="409"/>
    </row>
    <row r="49" spans="1:9" ht="18" customHeight="1">
      <c r="A49" s="395"/>
      <c r="B49" s="25" t="s">
        <v>43</v>
      </c>
      <c r="C49" s="26">
        <f>'Balance Sheet'!D8</f>
        <v>0</v>
      </c>
      <c r="D49" s="420"/>
      <c r="E49" s="26">
        <f>'Balance Sheet'!F8</f>
        <v>0</v>
      </c>
      <c r="F49" s="420"/>
      <c r="G49" s="26">
        <f>'Balance Sheet'!H8</f>
        <v>0</v>
      </c>
      <c r="H49" s="420"/>
      <c r="I49" s="409"/>
    </row>
    <row r="50" spans="1:9" ht="18" customHeight="1">
      <c r="A50" s="394" t="s">
        <v>61</v>
      </c>
      <c r="B50" s="396"/>
      <c r="C50" s="397"/>
      <c r="D50" s="397"/>
      <c r="E50" s="397"/>
      <c r="F50" s="397"/>
      <c r="G50" s="397"/>
      <c r="H50" s="397"/>
      <c r="I50" s="398"/>
    </row>
    <row r="51" spans="1:9" ht="23.25" customHeight="1">
      <c r="A51" s="395"/>
      <c r="B51" s="399"/>
      <c r="C51" s="400"/>
      <c r="D51" s="400"/>
      <c r="E51" s="400"/>
      <c r="F51" s="400"/>
      <c r="G51" s="400"/>
      <c r="H51" s="400"/>
      <c r="I51" s="401"/>
    </row>
    <row r="52" spans="1:9" ht="14.25" customHeight="1">
      <c r="A52" s="394" t="s">
        <v>86</v>
      </c>
      <c r="B52" s="25">
        <v>360</v>
      </c>
      <c r="C52" s="1">
        <f>B52</f>
        <v>360</v>
      </c>
      <c r="D52" s="408" t="e">
        <f>360/D48</f>
        <v>#DIV/0!</v>
      </c>
      <c r="E52" s="1">
        <f>B52</f>
        <v>360</v>
      </c>
      <c r="F52" s="408" t="e">
        <f>360/F48</f>
        <v>#DIV/0!</v>
      </c>
      <c r="G52" s="1">
        <f>B52</f>
        <v>360</v>
      </c>
      <c r="H52" s="408" t="e">
        <f>360/H48</f>
        <v>#DIV/0!</v>
      </c>
      <c r="I52" s="409"/>
    </row>
    <row r="53" spans="1:9" ht="15.75" customHeight="1">
      <c r="A53" s="395"/>
      <c r="B53" s="25" t="s">
        <v>85</v>
      </c>
      <c r="C53" s="26" t="e">
        <f>D48</f>
        <v>#DIV/0!</v>
      </c>
      <c r="D53" s="408"/>
      <c r="E53" s="26" t="e">
        <f>F48</f>
        <v>#DIV/0!</v>
      </c>
      <c r="F53" s="408"/>
      <c r="G53" s="26" t="e">
        <f>H48</f>
        <v>#DIV/0!</v>
      </c>
      <c r="H53" s="408"/>
      <c r="I53" s="409"/>
    </row>
    <row r="54" spans="1:9" ht="15.75" customHeight="1">
      <c r="A54" s="394" t="s">
        <v>61</v>
      </c>
      <c r="B54" s="396"/>
      <c r="C54" s="397"/>
      <c r="D54" s="397"/>
      <c r="E54" s="397"/>
      <c r="F54" s="397"/>
      <c r="G54" s="397"/>
      <c r="H54" s="397"/>
      <c r="I54" s="398"/>
    </row>
    <row r="55" spans="1:9" ht="23.25" customHeight="1">
      <c r="A55" s="395"/>
      <c r="B55" s="399"/>
      <c r="C55" s="400"/>
      <c r="D55" s="400"/>
      <c r="E55" s="400"/>
      <c r="F55" s="400"/>
      <c r="G55" s="400"/>
      <c r="H55" s="400"/>
      <c r="I55" s="401"/>
    </row>
    <row r="56" spans="1:9" ht="18" customHeight="1">
      <c r="A56" s="394" t="s">
        <v>87</v>
      </c>
      <c r="B56" s="25" t="s">
        <v>11</v>
      </c>
      <c r="C56" s="26">
        <f>'Income Stmt'!C7</f>
        <v>0</v>
      </c>
      <c r="D56" s="420" t="e">
        <f>C56/C57</f>
        <v>#DIV/0!</v>
      </c>
      <c r="E56" s="26">
        <f>'Income Stmt'!G7</f>
        <v>0</v>
      </c>
      <c r="F56" s="420" t="e">
        <f>E56/E57</f>
        <v>#DIV/0!</v>
      </c>
      <c r="G56" s="26">
        <f>'Income Stmt'!K7</f>
        <v>0</v>
      </c>
      <c r="H56" s="420" t="e">
        <f>G56/G57</f>
        <v>#DIV/0!</v>
      </c>
      <c r="I56" s="409"/>
    </row>
    <row r="57" spans="1:9" ht="15.75" customHeight="1">
      <c r="A57" s="395"/>
      <c r="B57" s="25" t="s">
        <v>49</v>
      </c>
      <c r="C57" s="26">
        <f>'Balance Sheet'!D25</f>
        <v>0</v>
      </c>
      <c r="D57" s="420"/>
      <c r="E57" s="26">
        <f>'Balance Sheet'!F25</f>
        <v>0</v>
      </c>
      <c r="F57" s="420"/>
      <c r="G57" s="26">
        <f>'Balance Sheet'!H25</f>
        <v>0</v>
      </c>
      <c r="H57" s="420"/>
      <c r="I57" s="409"/>
    </row>
    <row r="58" spans="1:9" ht="15.75" customHeight="1">
      <c r="A58" s="394" t="s">
        <v>61</v>
      </c>
      <c r="B58" s="396"/>
      <c r="C58" s="397"/>
      <c r="D58" s="397"/>
      <c r="E58" s="397"/>
      <c r="F58" s="397"/>
      <c r="G58" s="397"/>
      <c r="H58" s="397"/>
      <c r="I58" s="398"/>
    </row>
    <row r="59" spans="1:9" ht="23.25" customHeight="1">
      <c r="A59" s="395"/>
      <c r="B59" s="399"/>
      <c r="C59" s="400"/>
      <c r="D59" s="400"/>
      <c r="E59" s="400"/>
      <c r="F59" s="400"/>
      <c r="G59" s="400"/>
      <c r="H59" s="400"/>
      <c r="I59" s="401"/>
    </row>
    <row r="60" spans="1:9" ht="14.25" customHeight="1">
      <c r="A60" s="406" t="s">
        <v>88</v>
      </c>
      <c r="B60" s="25">
        <v>360</v>
      </c>
      <c r="C60" s="38">
        <f>B60</f>
        <v>360</v>
      </c>
      <c r="D60" s="408" t="e">
        <f>360/D56</f>
        <v>#DIV/0!</v>
      </c>
      <c r="E60" s="38">
        <f>B60</f>
        <v>360</v>
      </c>
      <c r="F60" s="408" t="e">
        <f>360/F56</f>
        <v>#DIV/0!</v>
      </c>
      <c r="G60" s="38">
        <f>B60</f>
        <v>360</v>
      </c>
      <c r="H60" s="408" t="e">
        <f>360/H56</f>
        <v>#DIV/0!</v>
      </c>
      <c r="I60" s="409"/>
    </row>
    <row r="61" spans="1:9" ht="17.25" customHeight="1">
      <c r="A61" s="407"/>
      <c r="B61" s="25" t="s">
        <v>87</v>
      </c>
      <c r="C61" s="26" t="e">
        <f>D56</f>
        <v>#DIV/0!</v>
      </c>
      <c r="D61" s="408"/>
      <c r="E61" s="26" t="e">
        <f>F56</f>
        <v>#DIV/0!</v>
      </c>
      <c r="F61" s="408"/>
      <c r="G61" s="26" t="e">
        <f>H56</f>
        <v>#DIV/0!</v>
      </c>
      <c r="H61" s="408"/>
      <c r="I61" s="409"/>
    </row>
    <row r="62" spans="1:9" ht="15.75" customHeight="1">
      <c r="A62" s="402" t="s">
        <v>61</v>
      </c>
      <c r="B62" s="403"/>
      <c r="C62" s="404"/>
      <c r="D62" s="404"/>
      <c r="E62" s="404"/>
      <c r="F62" s="404"/>
      <c r="G62" s="404"/>
      <c r="H62" s="404"/>
      <c r="I62" s="405"/>
    </row>
    <row r="63" spans="1:9" ht="23.25" customHeight="1">
      <c r="A63" s="395"/>
      <c r="B63" s="399"/>
      <c r="C63" s="400"/>
      <c r="D63" s="400"/>
      <c r="E63" s="400"/>
      <c r="F63" s="400"/>
      <c r="G63" s="400"/>
      <c r="H63" s="400"/>
      <c r="I63" s="401"/>
    </row>
  </sheetData>
  <sheetProtection/>
  <mergeCells count="103">
    <mergeCell ref="I56:I57"/>
    <mergeCell ref="I48:I49"/>
    <mergeCell ref="A56:A57"/>
    <mergeCell ref="D56:D57"/>
    <mergeCell ref="F56:F57"/>
    <mergeCell ref="H56:H57"/>
    <mergeCell ref="A48:A49"/>
    <mergeCell ref="D48:D49"/>
    <mergeCell ref="F48:F49"/>
    <mergeCell ref="H48:H49"/>
    <mergeCell ref="I40:I41"/>
    <mergeCell ref="I31:I32"/>
    <mergeCell ref="A40:A41"/>
    <mergeCell ref="D40:D41"/>
    <mergeCell ref="F40:F41"/>
    <mergeCell ref="H40:H41"/>
    <mergeCell ref="A31:A32"/>
    <mergeCell ref="D31:D32"/>
    <mergeCell ref="F31:F32"/>
    <mergeCell ref="H31:H32"/>
    <mergeCell ref="A22:A23"/>
    <mergeCell ref="D22:D23"/>
    <mergeCell ref="A27:A28"/>
    <mergeCell ref="D27:D28"/>
    <mergeCell ref="A24:A25"/>
    <mergeCell ref="B24:I25"/>
    <mergeCell ref="I18:I19"/>
    <mergeCell ref="I22:I23"/>
    <mergeCell ref="F22:F23"/>
    <mergeCell ref="H22:H23"/>
    <mergeCell ref="I5:I6"/>
    <mergeCell ref="I9:I10"/>
    <mergeCell ref="B20:I21"/>
    <mergeCell ref="A5:A6"/>
    <mergeCell ref="D5:D6"/>
    <mergeCell ref="A9:A10"/>
    <mergeCell ref="D9:D10"/>
    <mergeCell ref="F9:F10"/>
    <mergeCell ref="H9:H10"/>
    <mergeCell ref="A7:A8"/>
    <mergeCell ref="B7:I8"/>
    <mergeCell ref="B1:D1"/>
    <mergeCell ref="B2:D2"/>
    <mergeCell ref="F5:F6"/>
    <mergeCell ref="H5:H6"/>
    <mergeCell ref="C3:D3"/>
    <mergeCell ref="E3:F3"/>
    <mergeCell ref="G3:H3"/>
    <mergeCell ref="A13:A14"/>
    <mergeCell ref="D13:D14"/>
    <mergeCell ref="F13:F14"/>
    <mergeCell ref="H13:H14"/>
    <mergeCell ref="A18:A19"/>
    <mergeCell ref="D18:D19"/>
    <mergeCell ref="A15:A16"/>
    <mergeCell ref="F18:F19"/>
    <mergeCell ref="H18:H19"/>
    <mergeCell ref="A11:A12"/>
    <mergeCell ref="B11:I12"/>
    <mergeCell ref="B15:I16"/>
    <mergeCell ref="I13:I14"/>
    <mergeCell ref="A29:A30"/>
    <mergeCell ref="B29:I30"/>
    <mergeCell ref="F27:F28"/>
    <mergeCell ref="H27:H28"/>
    <mergeCell ref="I27:I28"/>
    <mergeCell ref="A20:A21"/>
    <mergeCell ref="A33:A34"/>
    <mergeCell ref="B33:I34"/>
    <mergeCell ref="A37:A38"/>
    <mergeCell ref="B37:I38"/>
    <mergeCell ref="A35:A36"/>
    <mergeCell ref="D35:D36"/>
    <mergeCell ref="F35:F36"/>
    <mergeCell ref="H35:H36"/>
    <mergeCell ref="I35:I36"/>
    <mergeCell ref="A42:A43"/>
    <mergeCell ref="B42:I43"/>
    <mergeCell ref="A46:A47"/>
    <mergeCell ref="B46:I47"/>
    <mergeCell ref="A44:A45"/>
    <mergeCell ref="D44:D45"/>
    <mergeCell ref="F44:F45"/>
    <mergeCell ref="H44:H45"/>
    <mergeCell ref="I44:I45"/>
    <mergeCell ref="A50:A51"/>
    <mergeCell ref="B50:I51"/>
    <mergeCell ref="A54:A55"/>
    <mergeCell ref="B54:I55"/>
    <mergeCell ref="A52:A53"/>
    <mergeCell ref="D52:D53"/>
    <mergeCell ref="F52:F53"/>
    <mergeCell ref="H52:H53"/>
    <mergeCell ref="I52:I53"/>
    <mergeCell ref="A58:A59"/>
    <mergeCell ref="B58:I59"/>
    <mergeCell ref="A62:A63"/>
    <mergeCell ref="B62:I63"/>
    <mergeCell ref="A60:A61"/>
    <mergeCell ref="D60:D61"/>
    <mergeCell ref="F60:F61"/>
    <mergeCell ref="H60:H61"/>
    <mergeCell ref="I60:I61"/>
  </mergeCells>
  <printOptions horizontalCentered="1"/>
  <pageMargins left="0.75" right="0.75" top="0.5" bottom="0.35" header="0.25" footer="0.25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</dc:creator>
  <cp:keywords/>
  <dc:description/>
  <cp:lastModifiedBy>Headwaters RC&amp;D Area</cp:lastModifiedBy>
  <cp:lastPrinted>2013-07-31T16:18:56Z</cp:lastPrinted>
  <dcterms:created xsi:type="dcterms:W3CDTF">2006-03-09T23:47:19Z</dcterms:created>
  <dcterms:modified xsi:type="dcterms:W3CDTF">2016-01-13T18:06:43Z</dcterms:modified>
  <cp:category/>
  <cp:version/>
  <cp:contentType/>
  <cp:contentStatus/>
</cp:coreProperties>
</file>